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A CORUÑA\"/>
    </mc:Choice>
  </mc:AlternateContent>
  <workbookProtection workbookAlgorithmName="SHA-512" workbookHashValue="M/gfeLLtx/r1XmELlN9beLNMag02/qsF5+X+Ev+IgonrByw8uke3/lZtQkYIP2qLnOd+m9vZgOWzpm51H9jAjg==" workbookSaltValue="OA0QOi6WXUaKPX6fDEnkrg=="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W20" i="20"/>
  <c r="AY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N13" i="2" s="1"/>
  <c r="M17" i="2"/>
  <c r="M16" i="2"/>
  <c r="M15" i="2"/>
  <c r="M12" i="2"/>
  <c r="M11" i="2"/>
  <c r="M10" i="2"/>
  <c r="M13" i="2" s="1"/>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R8" i="9"/>
  <c r="X12" i="21" s="1"/>
  <c r="EP19" i="8"/>
  <c r="ER19" i="13"/>
  <c r="AL13" i="16"/>
  <c r="AJ13" i="16"/>
  <c r="EP19" i="19"/>
  <c r="BH11" i="16"/>
  <c r="BM16" i="11"/>
  <c r="BF10" i="11"/>
  <c r="S13" i="16"/>
  <c r="P13" i="16"/>
  <c r="AM13" i="20"/>
  <c r="K18" i="2"/>
  <c r="M18" i="2"/>
  <c r="N18" i="2"/>
  <c r="T13" i="12"/>
  <c r="BM12" i="11"/>
  <c r="BJ12" i="11"/>
  <c r="BK17" i="11"/>
  <c r="BU11" i="17"/>
  <c r="BW12" i="20"/>
  <c r="BW10" i="20"/>
  <c r="T13" i="16"/>
  <c r="BG12" i="11"/>
  <c r="AQ10" i="21"/>
  <c r="BM17" i="11"/>
  <c r="BJ16" i="11"/>
  <c r="T13" i="20"/>
  <c r="BF15" i="8"/>
  <c r="BF9" i="8"/>
  <c r="AU18" i="21"/>
  <c r="AH13" i="16"/>
  <c r="U9" i="17"/>
  <c r="U19" i="17" s="1"/>
  <c r="AP13" i="16"/>
  <c r="V9" i="16"/>
  <c r="T18" i="17"/>
  <c r="BG15" i="13"/>
  <c r="BE16" i="13"/>
  <c r="BE15" i="13"/>
  <c r="AX20" i="20"/>
  <c r="S19" i="8" l="1"/>
  <c r="B18" i="7"/>
  <c r="AB13" i="21"/>
  <c r="BG10" i="8"/>
  <c r="H10" i="2"/>
  <c r="L16" i="2"/>
  <c r="BH16" i="11"/>
  <c r="BH10" i="16"/>
  <c r="BH10" i="11"/>
  <c r="AZ12" i="11"/>
  <c r="BU16" i="17"/>
  <c r="BW11" i="20"/>
  <c r="BU10" i="17"/>
  <c r="AP17" i="20"/>
  <c r="BG15" i="11"/>
  <c r="BI15" i="11"/>
  <c r="V11" i="11"/>
  <c r="BL17" i="11"/>
  <c r="BH17" i="16"/>
  <c r="AL16" i="11"/>
  <c r="C16" i="6"/>
  <c r="BE9" i="13"/>
  <c r="T9" i="11"/>
  <c r="L9" i="2"/>
  <c r="X10" i="21"/>
  <c r="L15" i="2"/>
  <c r="L10" i="2"/>
  <c r="BL16" i="11"/>
  <c r="AQ12" i="21"/>
  <c r="BF15" i="11"/>
  <c r="Q15" i="17"/>
  <c r="S10" i="17"/>
  <c r="BI9" i="11"/>
  <c r="Q17" i="17"/>
  <c r="T16" i="11"/>
  <c r="AA17" i="16"/>
  <c r="BV9" i="16"/>
  <c r="V12" i="16"/>
  <c r="U10" i="17"/>
  <c r="BV11" i="16"/>
  <c r="BV12" i="16"/>
  <c r="BV17" i="16"/>
  <c r="AZ15" i="11"/>
  <c r="AZ18" i="11" s="1"/>
  <c r="AZ9" i="11"/>
  <c r="R17" i="20"/>
  <c r="R18" i="20" s="1"/>
  <c r="AP15" i="20"/>
  <c r="BJ15" i="11"/>
  <c r="BH9" i="11"/>
  <c r="AP10" i="21"/>
  <c r="BK11" i="11"/>
  <c r="X11" i="17"/>
  <c r="BK9" i="11"/>
  <c r="BK12" i="11"/>
  <c r="P17" i="17"/>
  <c r="BG10" i="11"/>
  <c r="BL9" i="11"/>
  <c r="BF11" i="11"/>
  <c r="AZ13" i="11"/>
  <c r="AZ19" i="11"/>
  <c r="V10" i="16"/>
  <c r="X15" i="16"/>
  <c r="X18" i="16" s="1"/>
  <c r="L17" i="2"/>
  <c r="L12" i="2"/>
  <c r="S16" i="17"/>
  <c r="S15" i="17"/>
  <c r="BK10" i="11"/>
  <c r="BH12" i="16"/>
  <c r="BM9" i="11"/>
  <c r="S17" i="17"/>
  <c r="BG16" i="11"/>
  <c r="BH11" i="11"/>
  <c r="BK16" i="11"/>
  <c r="BJ10" i="11"/>
  <c r="BL10" i="11"/>
  <c r="BL15" i="11"/>
  <c r="BF12" i="11"/>
  <c r="P15" i="17"/>
  <c r="S15" i="16"/>
  <c r="X17" i="17"/>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AQ20" i="20"/>
  <c r="W20" i="20"/>
  <c r="AC20" i="20"/>
  <c r="AP20" i="20"/>
  <c r="O16" i="11"/>
  <c r="Q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O20" i="20"/>
  <c r="AF20" i="20"/>
  <c r="AG20" i="20"/>
  <c r="O10" i="11"/>
  <c r="K20" i="20"/>
  <c r="AH20" i="20"/>
  <c r="H20" i="20"/>
  <c r="J18" i="2" l="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3" i="6"/>
  <c r="H13" i="2"/>
  <c r="AL13" i="11"/>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AV20" i="21"/>
  <c r="U17" i="11"/>
  <c r="T20" i="20"/>
  <c r="O17" i="11"/>
  <c r="AI19" i="11" l="1"/>
  <c r="AL19" i="2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O20" i="16"/>
  <c r="AH20" i="11"/>
  <c r="B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L20" i="21"/>
  <c r="F20" i="17"/>
  <c r="AI20" i="16"/>
  <c r="M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9" i="8" s="1"/>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M19" i="11" l="1"/>
  <c r="BG19" i="11"/>
  <c r="G19" i="3"/>
  <c r="BV21" i="16"/>
  <c r="BV19" i="16"/>
  <c r="Q13" i="11"/>
  <c r="BG19" i="8"/>
  <c r="H19" i="2"/>
  <c r="I19" i="3"/>
  <c r="J19" i="2"/>
  <c r="S19" i="17"/>
  <c r="F19" i="11"/>
  <c r="AQ19" i="11" s="1"/>
  <c r="AQ13" i="11"/>
  <c r="AQ21" i="11" s="1"/>
  <c r="F19" i="17"/>
  <c r="F21" i="16"/>
  <c r="E19" i="6"/>
  <c r="C19" i="6"/>
  <c r="AO19" i="11"/>
  <c r="AM19" i="11"/>
  <c r="B19" i="6"/>
  <c r="H19" i="7" s="1"/>
  <c r="AL19" i="11"/>
  <c r="BL18" i="16"/>
  <c r="F19" i="16"/>
  <c r="E21" i="21"/>
  <c r="E19" i="21"/>
  <c r="AW21" i="20"/>
  <c r="AS21" i="20"/>
  <c r="AR21" i="20" s="1"/>
  <c r="AV21" i="11"/>
  <c r="C19" i="14"/>
  <c r="BF19" i="8"/>
  <c r="AQ19" i="17"/>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<sst xmlns="http://schemas.openxmlformats.org/spreadsheetml/2006/main" count="2102" uniqueCount="918">
  <si>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</si>
  <si>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</si>
  <si>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</si>
  <si>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</si>
  <si>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</si>
  <si>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</si>
  <si>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</si>
  <si>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</si>
  <si>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</si>
  <si>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</si>
  <si>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</si>
  <si>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</si>
  <si>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</si>
  <si>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</si>
  <si>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</si>
  <si>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</si>
  <si>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</si>
  <si>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</si>
  <si>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</si>
  <si>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</si>
  <si>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</si>
  <si>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</si>
  <si>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</si>
  <si>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</si>
  <si>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</si>
  <si>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</si>
  <si>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</si>
  <si>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</si>
  <si>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</si>
  <si>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</si>
  <si>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</si>
  <si>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</si>
  <si>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</si>
  <si>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</si>
  <si>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</si>
  <si>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</si>
  <si>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</si>
  <si>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</si>
  <si>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</si>
  <si>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</si>
  <si>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</si>
  <si>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</si>
  <si>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</si>
  <si>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</si>
  <si>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</si>
  <si>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</si>
  <si>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</si>
  <si>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</si>
  <si>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</si>
  <si>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</si>
  <si>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</si>
  <si>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</si>
  <si>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</si>
  <si>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</si>
  <si>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</si>
  <si>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</si>
  <si>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</si>
  <si>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</si>
  <si>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</si>
  <si>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</si>
  <si>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</si>
  <si>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</si>
  <si>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</si>
  <si>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</si>
  <si>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</si>
  <si>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</si>
  <si>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</si>
  <si>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</si>
  <si>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</si>
  <si>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</si>
  <si>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</si>
  <si>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</si>
  <si>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</si>
  <si>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</si>
  <si>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</si>
  <si>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</si>
  <si>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</si>
  <si>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</si>
  <si>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</si>
  <si>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</si>
  <si>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</si>
  <si>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</si>
  <si>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</si>
  <si>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</si>
  <si>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</si>
  <si>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</si>
  <si>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</si>
  <si>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</si>
  <si>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</si>
  <si>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</si>
  <si>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</si>
  <si>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</si>
  <si>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</si>
  <si>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</si>
  <si>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</si>
  <si>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</si>
  <si>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</si>
  <si>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</si>
  <si>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</si>
  <si>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</si>
  <si>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</si>
  <si>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</si>
  <si>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</si>
  <si>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</si>
  <si>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</si>
  <si>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</si>
  <si>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</si>
  <si>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</si>
  <si>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</si>
  <si>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</si>
  <si>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</si>
  <si>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</si>
  <si>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</si>
  <si>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</si>
  <si>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</si>
  <si>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</si>
  <si>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</si>
  <si>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</si>
  <si>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</si>
  <si>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</si>
  <si>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</si>
  <si>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</si>
  <si>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</si>
  <si>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</si>
  <si>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</si>
  <si>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</si>
  <si>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</si>
  <si>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</si>
  <si>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</si>
  <si>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</si>
  <si>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</si>
  <si>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</si>
  <si>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</si>
  <si>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</si>
  <si>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</si>
  <si>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</si>
  <si>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</si>
  <si>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</si>
  <si>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</si>
  <si>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</si>
  <si>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</si>
  <si>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</si>
  <si>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</si>
  <si>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</si>
  <si>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</si>
  <si>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</si>
  <si>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</si>
  <si>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</si>
  <si>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</si>
  <si>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</si>
  <si>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</si>
  <si>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</si>
  <si>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</si>
  <si>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</si>
  <si>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</si>
  <si>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</si>
  <si>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</si>
  <si>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</si>
  <si>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</si>
  <si>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</si>
  <si>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</si>
  <si>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</si>
  <si>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</si>
  <si>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</si>
  <si>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</si>
  <si>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</si>
  <si>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</si>
  <si>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</si>
  <si>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</si>
  <si>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</si>
  <si>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</si>
  <si>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</si>
  <si>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</si>
  <si>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</si>
  <si>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</si>
  <si>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</si>
  <si>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</si>
  <si>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</si>
  <si>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</si>
  <si>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</si>
  <si>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</si>
  <si>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</si>
  <si>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</si>
  <si>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</si>
  <si>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</si>
  <si>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</si>
  <si>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</si>
  <si>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</si>
  <si>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</si>
  <si>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</si>
  <si>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</si>
  <si>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</si>
  <si>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</si>
  <si>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</si>
  <si>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</si>
  <si>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</si>
  <si>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</si>
  <si>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</si>
  <si>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</si>
  <si>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</si>
  <si>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</si>
  <si>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</si>
  <si>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</si>
  <si>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</si>
  <si>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</si>
  <si>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</si>
  <si>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</si>
  <si>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</si>
  <si>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</si>
  <si>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</si>
  <si>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</si>
  <si>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</si>
  <si>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</si>
  <si>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</si>
  <si>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</si>
  <si>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</si>
  <si>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</si>
  <si>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</si>
  <si>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</si>
  <si>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</si>
  <si>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</si>
  <si>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</si>
  <si>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</si>
  <si>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</si>
  <si>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</si>
  <si>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</si>
  <si>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</si>
  <si>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</si>
  <si>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</si>
  <si>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</si>
  <si>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</si>
  <si>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</si>
  <si>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</si>
  <si>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</si>
  <si>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</si>
  <si>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</si>
  <si>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</si>
  <si>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</si>
  <si>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</si>
  <si>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</si>
  <si>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</si>
  <si>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</si>
  <si>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</si>
  <si>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</si>
  <si>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</si>
  <si>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</si>
  <si>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</si>
  <si>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</si>
  <si>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</si>
  <si>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</si>
  <si>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</si>
  <si>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</si>
  <si>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</si>
  <si>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</si>
  <si>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</si>
  <si>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</si>
  <si>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</si>
  <si>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</si>
  <si>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</si>
  <si>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</si>
  <si>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</si>
  <si>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</si>
  <si>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</si>
  <si>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</si>
  <si>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</si>
  <si>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</si>
  <si>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</si>
  <si>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</si>
  <si>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</si>
  <si>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</si>
  <si>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</si>
  <si>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</si>
  <si>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</si>
  <si>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</si>
  <si>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</si>
  <si>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</si>
  <si>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</si>
  <si>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</si>
  <si>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</si>
  <si>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</si>
  <si>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</si>
  <si>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</si>
  <si>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</si>
  <si>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</si>
  <si>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</si>
  <si>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</si>
  <si>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</si>
  <si>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</si>
  <si>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</si>
  <si>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</si>
  <si>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</si>
  <si>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</si>
  <si>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</si>
  <si>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</si>
  <si>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</si>
  <si>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</si>
  <si>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</si>
  <si>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</si>
  <si>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</si>
  <si>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</si>
  <si>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</si>
  <si>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</si>
  <si>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</si>
  <si>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</si>
  <si>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</si>
  <si>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</si>
  <si>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</si>
  <si>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</si>
  <si>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</si>
  <si>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</si>
  <si>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</si>
  <si>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</si>
  <si>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</si>
  <si>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</si>
  <si>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</si>
  <si>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</si>
  <si>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</si>
  <si>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</si>
  <si>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</si>
  <si>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</si>
  <si>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</si>
  <si>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</si>
  <si>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</si>
  <si>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</si>
  <si>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</si>
  <si>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</si>
  <si>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</si>
  <si>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</si>
  <si>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</si>
  <si>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</si>
  <si>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</si>
  <si>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</si>
  <si>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</si>
  <si>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</si>
  <si>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</si>
  <si>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</si>
  <si>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</si>
  <si>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</si>
  <si>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</si>
  <si>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</si>
  <si>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</si>
  <si>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</si>
  <si>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</si>
  <si>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</si>
  <si>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</si>
  <si>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</si>
  <si>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</si>
  <si>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</si>
  <si>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</si>
  <si>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</si>
  <si>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</si>
  <si>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</si>
  <si>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</si>
  <si>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</si>
  <si>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</si>
  <si>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</si>
  <si>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</si>
  <si>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</si>
  <si>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</si>
  <si>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</si>
  <si>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</si>
  <si>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</si>
  <si>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</si>
  <si>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</si>
  <si>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</si>
  <si>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</si>
  <si>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</si>
  <si>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</si>
  <si>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</si>
  <si>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</si>
  <si>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</si>
  <si>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</si>
  <si>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</si>
  <si>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</si>
  <si>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</si>
  <si>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</si>
  <si>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</si>
  <si>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</si>
  <si>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</si>
  <si>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</si>
  <si>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</si>
  <si>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</si>
  <si>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</si>
  <si>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</si>
  <si>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</si>
  <si>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</si>
  <si>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</si>
  <si>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</si>
  <si>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</si>
  <si>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</si>
  <si>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</si>
  <si>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</si>
  <si>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</si>
  <si>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</si>
  <si>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</si>
  <si>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</si>
  <si>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</si>
  <si>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</si>
  <si>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</si>
  <si>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</si>
  <si>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</si>
  <si>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</si>
  <si>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</si>
  <si>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</si>
  <si>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</si>
  <si>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</si>
  <si>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</si>
  <si>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</si>
  <si>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</si>
  <si>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</si>
  <si>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</si>
  <si>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</si>
  <si>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</si>
  <si>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</si>
  <si>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</si>
  <si>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</si>
  <si>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</si>
  <si>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</si>
  <si>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</si>
  <si>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</si>
  <si>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</si>
  <si>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</si>
  <si>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</si>
  <si>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</si>
  <si>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</si>
  <si>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</si>
  <si>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</si>
  <si>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</si>
  <si>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</si>
  <si>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</si>
  <si>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</si>
  <si>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</si>
  <si>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</si>
  <si>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</si>
  <si>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</si>
  <si>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</si>
  <si>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</si>
  <si>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</si>
  <si>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</si>
  <si>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</si>
  <si>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</si>
  <si>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</si>
  <si>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</si>
  <si>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</si>
  <si>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</si>
  <si>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</si>
  <si>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</si>
  <si>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</si>
  <si>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</si>
  <si>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</si>
  <si>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</si>
  <si>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</si>
  <si>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</si>
  <si>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</si>
  <si>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</si>
  <si>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</si>
  <si>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</si>
  <si>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</si>
  <si>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</si>
  <si>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</si>
  <si>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</si>
  <si>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</si>
  <si>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</si>
  <si>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</si>
  <si>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</si>
  <si>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</si>
  <si>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</si>
  <si>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</si>
  <si>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</si>
  <si>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</si>
  <si>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</si>
  <si>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</si>
  <si>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</si>
  <si>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</si>
  <si>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</si>
  <si>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</si>
  <si>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</si>
  <si>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</si>
  <si>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</si>
  <si>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</si>
  <si>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</si>
  <si>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</si>
  <si>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</si>
  <si>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</si>
  <si>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</si>
  <si>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</si>
  <si>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</si>
  <si>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</si>
  <si>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</si>
  <si>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</si>
  <si>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</si>
  <si>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</si>
  <si>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</si>
  <si>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</si>
  <si>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</si>
  <si>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</si>
  <si>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</si>
  <si>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</si>
  <si>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</si>
  <si>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</si>
  <si>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</si>
  <si>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</si>
  <si>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</si>
  <si>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</si>
  <si>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</si>
  <si>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</si>
  <si>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</si>
  <si>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</si>
  <si>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</si>
  <si>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</si>
  <si>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</si>
  <si>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</si>
  <si>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</si>
  <si>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</si>
  <si>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</si>
  <si>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</si>
  <si>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</si>
  <si>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</si>
  <si>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</si>
  <si>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</si>
  <si>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</si>
  <si>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</si>
  <si>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</si>
  <si>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</si>
  <si>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</si>
  <si>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</si>
  <si>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</si>
  <si>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</si>
  <si>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</si>
  <si>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</si>
  <si>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</si>
  <si>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</si>
  <si>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</si>
  <si>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</si>
  <si>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</si>
  <si>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</si>
  <si>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</si>
  <si>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</si>
  <si>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</si>
  <si>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</si>
  <si>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</si>
  <si>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</si>
  <si>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</si>
  <si>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</si>
  <si>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</si>
  <si>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</si>
  <si>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</si>
  <si>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</si>
  <si>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</si>
  <si>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</si>
  <si>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</si>
  <si>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</si>
  <si>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</si>
  <si>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</si>
  <si>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</si>
  <si>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</si>
  <si>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</si>
  <si>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</si>
  <si>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</si>
  <si>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</si>
  <si>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</si>
  <si>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</si>
  <si>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</si>
  <si>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</si>
  <si>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</si>
  <si>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</si>
  <si>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</si>
  <si>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</si>
  <si>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</si>
  <si>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</si>
  <si>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</si>
  <si>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</si>
  <si>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</si>
  <si>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</si>
  <si>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</si>
  <si>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</si>
  <si>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</si>
  <si>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</si>
  <si>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</si>
  <si>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</si>
  <si>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</si>
  <si>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</si>
  <si>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</si>
  <si>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</si>
  <si>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</si>
  <si>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</si>
  <si>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</si>
  <si>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</si>
  <si>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</si>
  <si>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</si>
  <si>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</si>
  <si>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</si>
  <si>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</si>
  <si>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</si>
  <si>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</si>
  <si>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</si>
  <si>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</si>
  <si>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</si>
  <si>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</si>
  <si>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</si>
  <si>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</si>
  <si>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</si>
  <si>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</si>
  <si>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</si>
  <si>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</si>
  <si>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</si>
  <si>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</si>
  <si>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</si>
  <si>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</si>
  <si>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</si>
  <si>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</si>
  <si>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</si>
  <si>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</si>
  <si>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</si>
  <si>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</si>
  <si>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</si>
  <si>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</si>
  <si>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</si>
  <si>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</si>
  <si>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</si>
  <si>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</si>
  <si>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</si>
  <si>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</si>
  <si>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</si>
  <si>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</si>
  <si>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</si>
  <si>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</si>
  <si>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</si>
  <si>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</si>
  <si>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</si>
  <si>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</si>
  <si>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</si>
  <si>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</si>
  <si>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</si>
  <si>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</si>
  <si>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</si>
  <si>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</si>
  <si>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</si>
  <si>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</si>
  <si>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</si>
  <si>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</si>
  <si>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</si>
  <si>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</si>
  <si>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</si>
  <si>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</si>
  <si>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</si>
  <si>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</si>
  <si>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</si>
  <si>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</si>
  <si>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</si>
  <si>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</si>
  <si>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</si>
  <si>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</si>
  <si>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</si>
  <si>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</si>
  <si>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</si>
  <si>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</si>
  <si>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</si>
  <si>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</si>
  <si>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</si>
  <si>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</si>
  <si>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</si>
  <si>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</si>
  <si>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</si>
  <si>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</si>
  <si>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</si>
  <si>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</si>
  <si>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</si>
  <si>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</si>
  <si>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</si>
  <si>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</si>
  <si>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</si>
  <si>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</si>
  <si>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</si>
  <si>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</si>
  <si>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</si>
  <si>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</si>
  <si>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</si>
  <si>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</si>
  <si>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</si>
  <si>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</si>
  <si>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</si>
  <si>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</si>
  <si>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</si>
  <si>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</si>
  <si>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</si>
  <si>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</si>
  <si>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</si>
  <si>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</si>
  <si>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</si>
  <si>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</si>
  <si>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</si>
  <si>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</si>
  <si>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</si>
  <si>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</si>
  <si>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</si>
  <si>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</si>
  <si>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</si>
  <si>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</si>
  <si>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</si>
  <si>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</si>
  <si>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</si>
  <si>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</si>
  <si>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</si>
  <si>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</si>
  <si>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</si>
  <si>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</si>
  <si>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</si>
  <si>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</si>
  <si>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</si>
  <si>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</si>
  <si>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</si>
  <si>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</si>
  <si>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</si>
  <si>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</si>
  <si>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</si>
  <si>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</si>
  <si>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</si>
  <si>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</si>
  <si>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</si>
  <si>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</si>
  <si>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</si>
  <si>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</si>
  <si>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</si>
  <si>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</si>
  <si>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</si>
  <si>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</si>
  <si>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</si>
  <si>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</si>
  <si>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</si>
  <si>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</si>
  <si>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</si>
  <si>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</si>
  <si>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</si>
  <si>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</si>
  <si>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</si>
  <si>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</si>
  <si>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</si>
  <si>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</si>
  <si>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</si>
  <si>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</si>
  <si>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</si>
  <si>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</si>
  <si>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</si>
  <si>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</si>
  <si>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</si>
  <si>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</si>
  <si>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</si>
  <si>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</si>
  <si>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</si>
  <si>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</si>
  <si>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</si>
  <si>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</si>
  <si>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</si>
  <si>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</si>
  <si>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</si>
  <si>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</si>
  <si>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</si>
  <si>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</si>
  <si>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</si>
  <si>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</si>
  <si>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</si>
  <si>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</si>
  <si>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</si>
  <si>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</si>
  <si>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</si>
  <si>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</si>
  <si>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</si>
  <si>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</si>
  <si>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</si>
  <si>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</si>
  <si>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</si>
  <si>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</si>
  <si>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</si>
  <si>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</si>
  <si>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</si>
  <si>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</si>
  <si>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</si>
  <si>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</si>
  <si>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</si>
  <si>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</si>
  <si>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</si>
  <si>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</si>
  <si>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</si>
  <si>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</si>
  <si>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</si>
  <si>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</si>
  <si>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</si>
  <si>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</si>
  <si>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</si>
  <si>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</si>
  <si>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</si>
  <si>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</si>
  <si>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</si>
  <si>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</si>
  <si>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</si>
  <si>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</si>
  <si>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</si>
  <si>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</si>
  <si>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</si>
  <si>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</si>
  <si>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</si>
  <si>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</si>
  <si>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</si>
  <si>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</si>
  <si>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</si>
  <si>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</si>
  <si>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</si>
  <si>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</si>
  <si>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</si>
  <si>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</si>
  <si>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</si>
  <si>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</si>
  <si>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</si>
  <si>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</si>
  <si>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</si>
  <si>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</si>
  <si>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</si>
  <si>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</si>
  <si>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</si>
  <si>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</si>
  <si>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</si>
  <si>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</si>
  <si>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</si>
  <si>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</si>
  <si>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</si>
  <si>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</si>
  <si>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</si>
  <si>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</si>
  <si>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</si>
  <si>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</si>
  <si>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</si>
  <si>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</si>
  <si>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</si>
  <si>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</si>
  <si>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</si>
  <si>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</si>
  <si>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</si>
  <si>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</si>
  <si>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</si>
  <si>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</si>
  <si>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</si>
  <si>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</si>
  <si>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</si>
  <si>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</si>
  <si>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</si>
  <si>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</si>
  <si>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</si>
  <si>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</si>
  <si>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</si>
  <si>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</si>
  <si>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</si>
  <si>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</si>
  <si>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</si>
  <si>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</si>
  <si>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</si>
  <si>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</si>
  <si>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</si>
  <si>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</si>
  <si>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</si>
  <si>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</si>
  <si>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</si>
  <si>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</si>
  <si>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</si>
  <si>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</si>
  <si>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</si>
  <si>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</si>
  <si>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</si>
  <si>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</si>
  <si>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</si>
  <si>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</si>
  <si>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</si>
  <si>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</si>
  <si>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</si>
  <si>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</si>
  <si>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</si>
  <si>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</si>
  <si>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</si>
  <si>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</si>
  <si>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</si>
  <si>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</si>
  <si>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</si>
  <si>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</si>
  <si>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</si>
  <si>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</si>
  <si>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</si>
  <si>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</si>
  <si>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</si>
  <si>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</si>
  <si>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</si>
  <si>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</si>
  <si>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</si>
  <si>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</si>
  <si>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</si>
  <si>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</si>
  <si>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</si>
  <si>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</si>
  <si>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</si>
  <si>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</si>
  <si>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</si>
  <si>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</si>
  <si>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</si>
  <si>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</si>
  <si>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</si>
  <si>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</si>
  <si>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</si>
  <si>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</si>
  <si>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</si>
  <si>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</si>
  <si>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</si>
  <si>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</si>
  <si>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24 sep. 2024</t>
  </si>
  <si>
    <t>Tribunales de Justicia</t>
  </si>
  <si>
    <t>GALICIA</t>
  </si>
  <si>
    <t>Provincias</t>
  </si>
  <si>
    <t>A CORUÑA</t>
  </si>
  <si>
    <t>Resumenes por Partidos Judiciales</t>
  </si>
  <si>
    <t>BETANZOS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</si>
</sst>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2</v>
      </c>
      <c r="E5" s="372"/>
      <c r="F5" s="3"/>
      <c r="H5" t="s">
        <v>424</v>
      </c>
      <c r="Q5" s="346">
        <v>3</v>
      </c>
      <c r="R5" s="346">
        <v>2</v>
      </c>
      <c r="S5" t="b">
        <f>AND(Q5&gt;=TrimIni,Q5&lt;=TrimFin)</f>
        <v>0</v>
      </c>
    </row>
    <row r="6" spans="1:19" ht="15">
      <c r="A6" s="373"/>
      <c r="B6" s="372"/>
      <c r="C6" s="370" t="s">
        <v>216</v>
      </c>
      <c r="D6" s="371">
        <v>2</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1s0LUJJUEKFBnkXz9wmQ2XTOrxOWrOzdAdYHvSaQ60Ezt2Z+di0QMANcEfGIoJ0k+NO0zmHEb+KtirDynWyMxQ==" saltValue="U+nL6J5/PNtNoF9FQoJpDw=="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GALICIA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2 al 2</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10</v>
      </c>
      <c r="D10" s="225">
        <f>IF(ISNUMBER(Datos!I10),Datos!I10," - ")</f>
        <v>10</v>
      </c>
      <c r="E10" s="226">
        <f>IF(ISNUMBER(Datos!J10),Datos!J10," - ")</f>
        <v>12</v>
      </c>
      <c r="F10" s="226">
        <f>IF(ISNUMBER(Datos!K10),Datos!K10," - ")</f>
        <v>9</v>
      </c>
      <c r="G10" s="1034" t="str">
        <f>IF(Datos!E10&lt;&gt;"",Datos!E10,Datos!D10)</f>
        <v>37</v>
      </c>
      <c r="H10" s="227">
        <f>IF(ISNUMBER(Datos!L10),Datos!L10," - ")</f>
        <v>13</v>
      </c>
      <c r="I10" s="1044" t="str">
        <f>IF(ISNUMBER(Datos!AS10/Datos!BM10),Datos!AS10/Datos!BM10," - ")</f>
        <v xml:space="preserve"> - </v>
      </c>
      <c r="J10" s="1045">
        <f>IF(ISNUMBER(Datos!BY10/Datos!CN10),Datos!BY10/Datos!CN10," - ")</f>
        <v>0</v>
      </c>
      <c r="K10" s="230">
        <f t="shared" ref="K10:K12" si="1">IF(ISNUMBER((E10-F10)/C10),(E10-F10)/C10," - ")</f>
        <v>0.3</v>
      </c>
      <c r="L10" s="1025">
        <f>IF(ISNUMBER(NºAsuntos!I10/NºAsuntos!G10),(NºAsuntos!I10/NºAsuntos!G10)*11," - ")</f>
        <v>15.888888888888889</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4</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35.882186616399622</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10</v>
      </c>
      <c r="D13" s="1049">
        <f>SUBTOTAL(9,D9:D12)</f>
        <v>10</v>
      </c>
      <c r="E13" s="1050">
        <f>SUBTOTAL(9,E9:E12)</f>
        <v>12</v>
      </c>
      <c r="F13" s="1051">
        <f>SUBTOTAL(9,F9:F12)</f>
        <v>9</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4</v>
      </c>
      <c r="B16" s="502" t="str">
        <f>Datos!A16</f>
        <v xml:space="preserve">Jdos. 1ª Instª. e Instr.                        </v>
      </c>
      <c r="C16" s="225">
        <f t="shared" si="2"/>
        <v>1076</v>
      </c>
      <c r="D16" s="225">
        <f>IF(ISNUMBER(IF(D_I="SI",Datos!I16,Datos!I16+Datos!AC16)),IF(D_I="SI",Datos!I16,Datos!I16+Datos!AC16)," - ")</f>
        <v>1072</v>
      </c>
      <c r="E16" s="226">
        <f>IF(ISNUMBER(IF(D_I="SI",Datos!J16,Datos!J16+Datos!AD16)),IF(D_I="SI",Datos!J16,Datos!J16+Datos!AD16)," - ")</f>
        <v>834</v>
      </c>
      <c r="F16" s="226">
        <f>IF(ISNUMBER(IF(D_I="SI",Datos!K16,Datos!K16+Datos!AE16)),IF(D_I="SI",Datos!K16,Datos!K16+Datos!AE16)," - ")</f>
        <v>801</v>
      </c>
      <c r="G16" s="1034" t="str">
        <f>IF(Datos!E16&lt;&gt;"",Datos!E16,Datos!D16)</f>
        <v>04</v>
      </c>
      <c r="H16" s="227">
        <f>IF(ISNUMBER(IF(D_I="SI",Datos!L16,Datos!L16+Datos!AF16)),IF(D_I="SI",Datos!L16,Datos!L16+Datos!AF16)," - ")</f>
        <v>1109</v>
      </c>
      <c r="I16" s="1044" t="str">
        <f>IF(ISNUMBER(Datos!AS16/Datos!BM16),Datos!AS16/Datos!BM16," - ")</f>
        <v xml:space="preserve"> - </v>
      </c>
      <c r="J16" s="1045">
        <f>IF(ISNUMBER(Datos!BY16/Datos!CN16),Datos!BY16/Datos!CN16," - ")</f>
        <v>0</v>
      </c>
      <c r="K16" s="230">
        <f t="shared" si="3"/>
        <v>3.0669144981412641E-2</v>
      </c>
      <c r="L16" s="1025">
        <f>IF(ISNUMBER(NºAsuntos!I16/NºAsuntos!G16),(NºAsuntos!I16/NºAsuntos!G16)*11," - ")</f>
        <v>15.229712858926343</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59</v>
      </c>
      <c r="D17" s="225">
        <f>IF(ISNUMBER(IF(D_I="SI",Datos!I17,Datos!I17+Datos!AC17)),IF(D_I="SI",Datos!I17,Datos!I17+Datos!AC17)," - ")</f>
        <v>59</v>
      </c>
      <c r="E17" s="226">
        <f>IF(ISNUMBER(IF(D_I="SI",Datos!J17,Datos!J17+Datos!AD17)),IF(D_I="SI",Datos!J17,Datos!J17+Datos!AD17)," - ")</f>
        <v>74</v>
      </c>
      <c r="F17" s="226">
        <f>IF(ISNUMBER(IF(D_I="SI",Datos!K17,Datos!K17+Datos!AE17)),IF(D_I="SI",Datos!K17,Datos!K17+Datos!AE17)," - ")</f>
        <v>103</v>
      </c>
      <c r="G17" s="1034" t="str">
        <f>IF(Datos!E17&lt;&gt;"",Datos!E17,Datos!D17)</f>
        <v>37</v>
      </c>
      <c r="H17" s="227">
        <f>IF(ISNUMBER(IF(D_I="SI",Datos!L17,Datos!L17+Datos!AF17)),IF(D_I="SI",Datos!L17,Datos!L17+Datos!AF17)," - ")</f>
        <v>30</v>
      </c>
      <c r="I17" s="1044" t="str">
        <f>IF(ISNUMBER(Datos!AS17/Datos!BM17),Datos!AS17/Datos!BM17," - ")</f>
        <v xml:space="preserve"> - </v>
      </c>
      <c r="J17" s="1045" t="str">
        <f>IF(ISNUMBER((Datos!BY17+Datos!BZ17)/Datos!CN17),(Datos!BY17+Datos!BZ17)/Datos!CN17," - ")</f>
        <v xml:space="preserve"> - </v>
      </c>
      <c r="K17" s="230">
        <f t="shared" si="3"/>
        <v>-0.49152542372881358</v>
      </c>
      <c r="L17" s="1025">
        <f>IF(ISNUMBER(NºAsuntos!I17/NºAsuntos!G17),(NºAsuntos!I17/NºAsuntos!G17)*11," - ")</f>
        <v>3.203883495145631</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1135</v>
      </c>
      <c r="D18" s="1049">
        <f>SUBTOTAL(9,D15:D17)</f>
        <v>1131</v>
      </c>
      <c r="E18" s="1050">
        <f>SUBTOTAL(9,E15:E17)</f>
        <v>908</v>
      </c>
      <c r="F18" s="1050">
        <f>SUBTOTAL(9,F15:F17)</f>
        <v>904</v>
      </c>
      <c r="G18" s="1052" t="str">
        <f ca="1">INDIRECT(CONCATENATE("G",ROW()-1))</f>
        <v>37</v>
      </c>
      <c r="H18" s="1053">
        <f ca="1">SUMIF(G$14:G17,G18,H$14:H17)</f>
        <v>30</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1145</v>
      </c>
      <c r="D19" s="1071">
        <f>SUBTOTAL(9,D9:D18)</f>
        <v>1141</v>
      </c>
      <c r="E19" s="1072">
        <f>SUBTOTAL(9,E9:E18)</f>
        <v>920</v>
      </c>
      <c r="F19" s="1072">
        <f>SUBTOTAL(9,F9:F18)</f>
        <v>913</v>
      </c>
      <c r="G19" s="1073"/>
      <c r="H19" s="1074">
        <f ca="1">SUMIF(B9:B18,"TOTAL",H9:H18)</f>
        <v>30</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24 sep.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yqBUaC6wjIgVIwEqSy9fBuPzr1eJy7sQQxN9wweT1RzIEVzFN5pUGjBc0tojUfkCrGZdY6gsUE4EmuwcybVL3w==" saltValue="zd/7ncSCxL7hKzpE+mbUfQ=="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PCGE9vYIlT0EJbXICNNIFSD6ZipK1GcUSlccnm6hkyWNzwhQi1m+Sx+H3NgH2vrNrA9No9vZw1etb3rfcJARcw==" saltValue="f1f3Qsy6BjZydPEZds71Dw=="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GALICIA</v>
      </c>
    </row>
    <row r="4" spans="1:156" ht="13.5" thickBot="1">
      <c r="A4" t="str">
        <f>Criterios!A10</f>
        <v>Provincias</v>
      </c>
      <c r="B4" t="str">
        <f>Criterios!B10</f>
        <v>A CORUÑA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10</v>
      </c>
      <c r="J10" s="181">
        <v>12</v>
      </c>
      <c r="K10" s="181">
        <v>9</v>
      </c>
      <c r="L10" s="181">
        <v>13</v>
      </c>
      <c r="M10" s="181">
        <v>7</v>
      </c>
      <c r="N10" s="181">
        <v>0</v>
      </c>
      <c r="O10" s="181">
        <v>0</v>
      </c>
      <c r="P10" s="181">
        <v>3</v>
      </c>
      <c r="Q10" s="181">
        <v>0</v>
      </c>
      <c r="R10" s="181">
        <v>12</v>
      </c>
      <c r="S10" s="181">
        <v>14</v>
      </c>
      <c r="T10" s="181">
        <v>8</v>
      </c>
      <c r="U10" s="181">
        <v>6</v>
      </c>
      <c r="V10" s="181">
        <v>16</v>
      </c>
      <c r="W10" s="181">
        <v>4</v>
      </c>
      <c r="X10" s="188">
        <v>2</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14</v>
      </c>
      <c r="AZ10" s="129">
        <f t="shared" si="0"/>
        <v>8</v>
      </c>
      <c r="BA10" s="129">
        <f t="shared" si="0"/>
        <v>6</v>
      </c>
      <c r="BB10" s="129">
        <f t="shared" si="0"/>
        <v>16</v>
      </c>
      <c r="BC10" s="125">
        <f t="shared" si="0"/>
        <v>4</v>
      </c>
      <c r="BD10" s="126">
        <f>IF(ISNUMBER(BA10/AZ10),BA10/AZ10," - ")</f>
        <v>0.75</v>
      </c>
      <c r="BE10" s="127">
        <f>IF(ISNUMBER(BB10/BA10),BB10/BA10, " - ")</f>
        <v>2.6666666666666665</v>
      </c>
      <c r="BF10" s="127">
        <f>IF(ISNUMBER(BC10/BA10),BC10/BA10, " - ")</f>
        <v>0.66666666666666663</v>
      </c>
      <c r="BG10" s="196">
        <f>IF(ISNUMBER((AY10+AZ10)/BA10),(AY10+AZ10)/BA10," - ")</f>
        <v>3.6666666666666665</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3018</v>
      </c>
      <c r="J12" s="183">
        <v>1236</v>
      </c>
      <c r="K12" s="183">
        <v>962</v>
      </c>
      <c r="L12" s="183">
        <v>3292</v>
      </c>
      <c r="M12" s="183">
        <v>351</v>
      </c>
      <c r="N12" s="183">
        <v>464</v>
      </c>
      <c r="O12" s="181">
        <v>379</v>
      </c>
      <c r="P12" s="183">
        <v>339</v>
      </c>
      <c r="Q12" s="183">
        <v>134</v>
      </c>
      <c r="R12" s="183">
        <v>3819</v>
      </c>
      <c r="S12" s="183">
        <v>2341</v>
      </c>
      <c r="T12" s="183">
        <v>845</v>
      </c>
      <c r="U12" s="183">
        <v>726</v>
      </c>
      <c r="V12" s="183">
        <v>2460</v>
      </c>
      <c r="W12" s="183">
        <v>266</v>
      </c>
      <c r="X12" s="189">
        <v>199</v>
      </c>
      <c r="Y12" s="191">
        <v>145</v>
      </c>
      <c r="Z12" s="181">
        <v>123</v>
      </c>
      <c r="AA12" s="181">
        <v>99</v>
      </c>
      <c r="AB12" s="181">
        <v>169</v>
      </c>
      <c r="AC12" s="183">
        <v>0</v>
      </c>
      <c r="AD12" s="183">
        <v>0</v>
      </c>
      <c r="AE12" s="183">
        <v>0</v>
      </c>
      <c r="AF12" s="189">
        <v>0</v>
      </c>
      <c r="AG12" s="202">
        <v>138</v>
      </c>
      <c r="AH12" s="183">
        <v>71</v>
      </c>
      <c r="AI12" s="183">
        <v>76</v>
      </c>
      <c r="AJ12" s="203">
        <v>133</v>
      </c>
      <c r="AK12" s="182">
        <v>0</v>
      </c>
      <c r="AL12" s="183">
        <v>0</v>
      </c>
      <c r="AM12" s="183">
        <v>0</v>
      </c>
      <c r="AN12" s="189">
        <v>0</v>
      </c>
      <c r="AO12" s="259">
        <v>4</v>
      </c>
      <c r="AP12" s="155">
        <v>4</v>
      </c>
      <c r="AQ12" s="155">
        <v>4</v>
      </c>
      <c r="AR12" s="154">
        <v>4</v>
      </c>
      <c r="AS12" s="340" t="s">
        <v>802</v>
      </c>
      <c r="AT12" s="203"/>
      <c r="AU12" s="202"/>
      <c r="AV12" s="203"/>
      <c r="AW12" s="202"/>
      <c r="AX12" s="203"/>
      <c r="AY12" s="126">
        <f t="shared" si="1"/>
        <v>2479</v>
      </c>
      <c r="AZ12" s="127">
        <f t="shared" si="1"/>
        <v>916</v>
      </c>
      <c r="BA12" s="127">
        <f t="shared" si="1"/>
        <v>802</v>
      </c>
      <c r="BB12" s="127">
        <f t="shared" si="1"/>
        <v>2593</v>
      </c>
      <c r="BC12" s="125">
        <f>IF(ISNUMBER(X12),X12," - ")</f>
        <v>199</v>
      </c>
      <c r="BD12" s="126">
        <f t="shared" si="2"/>
        <v>0.87554585152838427</v>
      </c>
      <c r="BE12" s="127">
        <f t="shared" si="3"/>
        <v>3.2331670822942642</v>
      </c>
      <c r="BF12" s="127">
        <f t="shared" si="4"/>
        <v>0.24812967581047382</v>
      </c>
      <c r="BG12" s="196">
        <f t="shared" si="5"/>
        <v>4.2331670822942646</v>
      </c>
      <c r="BH12" s="155">
        <v>4</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3028</v>
      </c>
      <c r="J13" s="184">
        <f t="shared" si="6"/>
        <v>1248</v>
      </c>
      <c r="K13" s="184">
        <f t="shared" si="6"/>
        <v>971</v>
      </c>
      <c r="L13" s="184">
        <f t="shared" si="6"/>
        <v>3305</v>
      </c>
      <c r="M13" s="184">
        <f t="shared" si="6"/>
        <v>358</v>
      </c>
      <c r="N13" s="184">
        <f t="shared" si="6"/>
        <v>464</v>
      </c>
      <c r="O13" s="184">
        <f t="shared" si="6"/>
        <v>379</v>
      </c>
      <c r="P13" s="184">
        <f t="shared" si="6"/>
        <v>342</v>
      </c>
      <c r="Q13" s="184">
        <f t="shared" si="6"/>
        <v>134</v>
      </c>
      <c r="R13" s="184">
        <f t="shared" si="6"/>
        <v>3831</v>
      </c>
      <c r="S13" s="184">
        <f t="shared" si="6"/>
        <v>2355</v>
      </c>
      <c r="T13" s="184">
        <f t="shared" si="6"/>
        <v>853</v>
      </c>
      <c r="U13" s="184">
        <f t="shared" si="6"/>
        <v>732</v>
      </c>
      <c r="V13" s="184">
        <f t="shared" si="6"/>
        <v>2476</v>
      </c>
      <c r="W13" s="184">
        <f t="shared" si="6"/>
        <v>270</v>
      </c>
      <c r="X13" s="184">
        <f t="shared" si="6"/>
        <v>201</v>
      </c>
      <c r="Y13" s="184">
        <f t="shared" si="6"/>
        <v>145</v>
      </c>
      <c r="Z13" s="184">
        <f t="shared" si="6"/>
        <v>123</v>
      </c>
      <c r="AA13" s="184">
        <f t="shared" si="6"/>
        <v>99</v>
      </c>
      <c r="AB13" s="184">
        <f t="shared" si="6"/>
        <v>169</v>
      </c>
      <c r="AC13" s="184">
        <f t="shared" si="6"/>
        <v>0</v>
      </c>
      <c r="AD13" s="184">
        <f t="shared" si="6"/>
        <v>0</v>
      </c>
      <c r="AE13" s="184">
        <f t="shared" si="6"/>
        <v>0</v>
      </c>
      <c r="AF13" s="184">
        <f>SUBTOTAL(9,AF9:AF12)</f>
        <v>0</v>
      </c>
      <c r="AG13" s="184">
        <f t="shared" ref="AG13:AT13" si="7">SUBTOTAL(9,AG8:AG12)</f>
        <v>138</v>
      </c>
      <c r="AH13" s="184">
        <f t="shared" si="7"/>
        <v>71</v>
      </c>
      <c r="AI13" s="184">
        <f t="shared" si="7"/>
        <v>76</v>
      </c>
      <c r="AJ13" s="184">
        <f t="shared" si="7"/>
        <v>133</v>
      </c>
      <c r="AK13" s="184">
        <f t="shared" si="7"/>
        <v>0</v>
      </c>
      <c r="AL13" s="184">
        <f t="shared" si="7"/>
        <v>0</v>
      </c>
      <c r="AM13" s="184">
        <f t="shared" si="7"/>
        <v>0</v>
      </c>
      <c r="AN13" s="184">
        <f t="shared" si="7"/>
        <v>0</v>
      </c>
      <c r="AO13" s="184">
        <f t="shared" si="7"/>
        <v>5</v>
      </c>
      <c r="AP13" s="184">
        <f t="shared" si="7"/>
        <v>4</v>
      </c>
      <c r="AQ13" s="184">
        <f t="shared" si="7"/>
        <v>4</v>
      </c>
      <c r="AR13" s="184">
        <f t="shared" si="7"/>
        <v>4</v>
      </c>
      <c r="AS13" s="184">
        <f t="shared" si="7"/>
        <v>0</v>
      </c>
      <c r="AT13" s="184">
        <f t="shared" si="7"/>
        <v>0</v>
      </c>
      <c r="AU13" s="204"/>
      <c r="AV13" s="132"/>
      <c r="AW13" s="204"/>
      <c r="AX13" s="132"/>
      <c r="AY13" s="184">
        <f>SUBTOTAL(9,AY8:AY12)</f>
        <v>2493</v>
      </c>
      <c r="AZ13" s="184">
        <f>SUBTOTAL(9,AZ8:AZ12)</f>
        <v>924</v>
      </c>
      <c r="BA13" s="184">
        <f>SUBTOTAL(9,BA8:BA12)</f>
        <v>808</v>
      </c>
      <c r="BB13" s="184">
        <f>SUBTOTAL(9,BB8:BB12)</f>
        <v>2609</v>
      </c>
      <c r="BC13" s="184">
        <f>SUBTOTAL(9,BC8:BC12)</f>
        <v>203</v>
      </c>
      <c r="BD13" s="205">
        <f>IF(ISNUMBER(BA13/AZ13),BA13/AZ13," - ")</f>
        <v>0.87445887445887449</v>
      </c>
      <c r="BE13" s="206">
        <f>IF(ISNUMBER(BB13/BA13),BB13/BA13, " - ")</f>
        <v>3.2289603960396041</v>
      </c>
      <c r="BF13" s="206">
        <f>IF(ISNUMBER(BC13/BA13),BC13/BA13, " - ")</f>
        <v>0.25123762376237624</v>
      </c>
      <c r="BG13" s="207">
        <f>IF(ISNUMBER((AY13+AZ13)/BA13),(AY13+AZ13)/BA13," - ")</f>
        <v>4.2289603960396036</v>
      </c>
      <c r="BH13" s="140">
        <f>SUBTOTAL(9,BH8:BH12)</f>
        <v>5</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1072</v>
      </c>
      <c r="J16" s="183">
        <v>834</v>
      </c>
      <c r="K16" s="183">
        <v>801</v>
      </c>
      <c r="L16" s="183">
        <v>1109</v>
      </c>
      <c r="M16" s="183">
        <v>103</v>
      </c>
      <c r="N16" s="183">
        <v>453</v>
      </c>
      <c r="O16" s="181">
        <v>0</v>
      </c>
      <c r="P16" s="183">
        <v>29</v>
      </c>
      <c r="Q16" s="183">
        <v>20</v>
      </c>
      <c r="R16" s="183">
        <v>118</v>
      </c>
      <c r="S16" s="183">
        <v>878</v>
      </c>
      <c r="T16" s="183">
        <v>719</v>
      </c>
      <c r="U16" s="183">
        <v>654</v>
      </c>
      <c r="V16" s="183">
        <v>943</v>
      </c>
      <c r="W16" s="183">
        <v>86</v>
      </c>
      <c r="X16" s="189">
        <v>391</v>
      </c>
      <c r="Y16" s="202">
        <v>0</v>
      </c>
      <c r="Z16" s="183">
        <v>0</v>
      </c>
      <c r="AA16" s="183">
        <v>0</v>
      </c>
      <c r="AB16" s="183">
        <v>0</v>
      </c>
      <c r="AC16" s="183">
        <v>1</v>
      </c>
      <c r="AD16" s="183">
        <v>1</v>
      </c>
      <c r="AE16" s="183">
        <v>1</v>
      </c>
      <c r="AF16" s="189">
        <v>1</v>
      </c>
      <c r="AG16" s="202">
        <v>0</v>
      </c>
      <c r="AH16" s="183">
        <v>0</v>
      </c>
      <c r="AI16" s="183">
        <v>0</v>
      </c>
      <c r="AJ16" s="203">
        <v>0</v>
      </c>
      <c r="AK16" s="182">
        <v>1</v>
      </c>
      <c r="AL16" s="183">
        <v>1</v>
      </c>
      <c r="AM16" s="183">
        <v>1</v>
      </c>
      <c r="AN16" s="189">
        <v>1</v>
      </c>
      <c r="AO16" s="259">
        <v>4</v>
      </c>
      <c r="AP16" s="155">
        <v>4</v>
      </c>
      <c r="AQ16" s="155">
        <v>4</v>
      </c>
      <c r="AR16" s="155">
        <v>4</v>
      </c>
      <c r="AS16" s="340" t="s">
        <v>487</v>
      </c>
      <c r="AT16" s="203"/>
      <c r="AU16" s="202"/>
      <c r="AV16" s="203"/>
      <c r="AW16" s="202"/>
      <c r="AX16" s="203"/>
      <c r="AY16" s="126">
        <f t="shared" si="9"/>
        <v>878</v>
      </c>
      <c r="AZ16" s="127">
        <f t="shared" si="9"/>
        <v>719</v>
      </c>
      <c r="BA16" s="127">
        <f t="shared" si="9"/>
        <v>654</v>
      </c>
      <c r="BB16" s="127">
        <f t="shared" si="9"/>
        <v>943</v>
      </c>
      <c r="BC16" s="125">
        <f>IF(ISNUMBER(W16),W16," - ")</f>
        <v>86</v>
      </c>
      <c r="BD16" s="126">
        <f t="shared" ref="BD16" si="11">IF(ISNUMBER(BA16/AZ16),BA16/AZ16," - ")</f>
        <v>0.90959666203059808</v>
      </c>
      <c r="BE16" s="127">
        <f t="shared" ref="BE16" si="12">IF(ISNUMBER(BB16/BA16),BB16/BA16, " - ")</f>
        <v>1.4418960244648318</v>
      </c>
      <c r="BF16" s="127">
        <f t="shared" ref="BF16" si="13">IF(ISNUMBER(BC16/BA16),BC16/BA16, " - ")</f>
        <v>0.13149847094801223</v>
      </c>
      <c r="BG16" s="196">
        <f t="shared" si="10"/>
        <v>2.4418960244648318</v>
      </c>
      <c r="BH16" s="155">
        <v>4</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59</v>
      </c>
      <c r="J17" s="183">
        <v>74</v>
      </c>
      <c r="K17" s="183">
        <v>103</v>
      </c>
      <c r="L17" s="183">
        <v>30</v>
      </c>
      <c r="M17" s="183">
        <v>15</v>
      </c>
      <c r="N17" s="183">
        <v>46</v>
      </c>
      <c r="O17" s="183">
        <v>0</v>
      </c>
      <c r="P17" s="183">
        <v>2</v>
      </c>
      <c r="Q17" s="183">
        <v>0</v>
      </c>
      <c r="R17" s="183">
        <v>2</v>
      </c>
      <c r="S17" s="183">
        <v>34</v>
      </c>
      <c r="T17" s="183">
        <v>48</v>
      </c>
      <c r="U17" s="183">
        <v>49</v>
      </c>
      <c r="V17" s="183">
        <v>33</v>
      </c>
      <c r="W17" s="183">
        <v>7</v>
      </c>
      <c r="X17" s="189">
        <v>34</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34</v>
      </c>
      <c r="AZ17" s="129">
        <f t="shared" si="14"/>
        <v>48</v>
      </c>
      <c r="BA17" s="129">
        <f t="shared" si="14"/>
        <v>49</v>
      </c>
      <c r="BB17" s="129">
        <f t="shared" si="14"/>
        <v>33</v>
      </c>
      <c r="BC17" s="125">
        <f>IF(ISNUMBER(W17),W17," - ")</f>
        <v>7</v>
      </c>
      <c r="BD17" s="126">
        <f>IF(ISNUMBER(BA17/AZ17),BA17/AZ17," - ")</f>
        <v>1.0208333333333333</v>
      </c>
      <c r="BE17" s="127">
        <f>IF(ISNUMBER(BB17/BA17),BB17/BA17, " - ")</f>
        <v>0.67346938775510201</v>
      </c>
      <c r="BF17" s="127">
        <f>IF(ISNUMBER(BC17/BA17),BC17/BA17, " - ")</f>
        <v>0.14285714285714285</v>
      </c>
      <c r="BG17" s="196">
        <f>IF(ISNUMBER((AY17+AZ17)/BA17),(AY17+AZ17)/BA17," - ")</f>
        <v>1.6734693877551021</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1131</v>
      </c>
      <c r="J18" s="184">
        <f t="shared" si="15"/>
        <v>908</v>
      </c>
      <c r="K18" s="184">
        <f t="shared" si="15"/>
        <v>904</v>
      </c>
      <c r="L18" s="184">
        <f t="shared" si="15"/>
        <v>1139</v>
      </c>
      <c r="M18" s="184">
        <f t="shared" si="15"/>
        <v>118</v>
      </c>
      <c r="N18" s="184">
        <f t="shared" si="15"/>
        <v>499</v>
      </c>
      <c r="O18" s="184">
        <f t="shared" si="15"/>
        <v>0</v>
      </c>
      <c r="P18" s="184">
        <f t="shared" si="15"/>
        <v>31</v>
      </c>
      <c r="Q18" s="184">
        <f t="shared" si="15"/>
        <v>20</v>
      </c>
      <c r="R18" s="184">
        <f t="shared" si="15"/>
        <v>120</v>
      </c>
      <c r="S18" s="184">
        <f t="shared" si="15"/>
        <v>912</v>
      </c>
      <c r="T18" s="184">
        <f t="shared" si="15"/>
        <v>767</v>
      </c>
      <c r="U18" s="184">
        <f t="shared" si="15"/>
        <v>703</v>
      </c>
      <c r="V18" s="184">
        <f t="shared" si="15"/>
        <v>976</v>
      </c>
      <c r="W18" s="184">
        <f t="shared" si="15"/>
        <v>93</v>
      </c>
      <c r="X18" s="184">
        <f t="shared" si="15"/>
        <v>425</v>
      </c>
      <c r="Y18" s="184">
        <f t="shared" si="15"/>
        <v>0</v>
      </c>
      <c r="Z18" s="184">
        <f t="shared" si="15"/>
        <v>0</v>
      </c>
      <c r="AA18" s="184">
        <f t="shared" si="15"/>
        <v>0</v>
      </c>
      <c r="AB18" s="184">
        <f t="shared" si="15"/>
        <v>0</v>
      </c>
      <c r="AC18" s="184">
        <f t="shared" si="15"/>
        <v>1</v>
      </c>
      <c r="AD18" s="184">
        <f t="shared" si="15"/>
        <v>1</v>
      </c>
      <c r="AE18" s="184">
        <f t="shared" si="15"/>
        <v>1</v>
      </c>
      <c r="AF18" s="184">
        <f t="shared" si="15"/>
        <v>1</v>
      </c>
      <c r="AG18" s="184">
        <f t="shared" si="15"/>
        <v>0</v>
      </c>
      <c r="AH18" s="184">
        <f t="shared" si="15"/>
        <v>0</v>
      </c>
      <c r="AI18" s="184">
        <f t="shared" si="15"/>
        <v>0</v>
      </c>
      <c r="AJ18" s="184">
        <f t="shared" si="15"/>
        <v>0</v>
      </c>
      <c r="AK18" s="184">
        <f t="shared" si="15"/>
        <v>1</v>
      </c>
      <c r="AL18" s="184">
        <f t="shared" si="15"/>
        <v>1</v>
      </c>
      <c r="AM18" s="184">
        <f t="shared" si="15"/>
        <v>1</v>
      </c>
      <c r="AN18" s="184">
        <f t="shared" si="15"/>
        <v>1</v>
      </c>
      <c r="AO18" s="184">
        <f t="shared" si="15"/>
        <v>5</v>
      </c>
      <c r="AP18" s="184">
        <f t="shared" si="15"/>
        <v>4</v>
      </c>
      <c r="AQ18" s="184">
        <f t="shared" si="15"/>
        <v>4</v>
      </c>
      <c r="AR18" s="184">
        <f t="shared" si="15"/>
        <v>4</v>
      </c>
      <c r="AS18" s="184">
        <f t="shared" si="15"/>
        <v>0</v>
      </c>
      <c r="AT18" s="184">
        <f t="shared" si="15"/>
        <v>0</v>
      </c>
      <c r="AU18" s="204"/>
      <c r="AV18" s="132"/>
      <c r="AW18" s="204"/>
      <c r="AX18" s="132"/>
      <c r="AY18" s="184">
        <f>SUBTOTAL(9,AY14:AY17)</f>
        <v>912</v>
      </c>
      <c r="AZ18" s="184">
        <f>SUBTOTAL(9,AZ14:AZ17)</f>
        <v>767</v>
      </c>
      <c r="BA18" s="184">
        <f>SUBTOTAL(9,BA14:BA17)</f>
        <v>703</v>
      </c>
      <c r="BB18" s="184">
        <f>SUBTOTAL(9,BB14:BB17)</f>
        <v>976</v>
      </c>
      <c r="BC18" s="184">
        <f>SUBTOTAL(9,BC14:BC17)</f>
        <v>93</v>
      </c>
      <c r="BD18" s="205">
        <f>IF(ISNUMBER(BA18/AZ18),BA18/AZ18," - ")</f>
        <v>0.91655801825293348</v>
      </c>
      <c r="BE18" s="206">
        <f>IF(ISNUMBER(BB18/BA18),BB18/BA18, " - ")</f>
        <v>1.3883357041251778</v>
      </c>
      <c r="BF18" s="206">
        <f>IF(ISNUMBER(BC18/BA18),BC18/BA18, " - ")</f>
        <v>0.13229018492176386</v>
      </c>
      <c r="BG18" s="207">
        <f>IF(ISNUMBER((AY18+AZ18)/BA18),(AY18+AZ18)/BA18," - ")</f>
        <v>2.3883357041251778</v>
      </c>
      <c r="BH18" s="184">
        <f>SUBTOTAL(9,BH14:BH17)</f>
        <v>5</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4159</v>
      </c>
      <c r="J19" s="134">
        <f t="shared" si="18"/>
        <v>2156</v>
      </c>
      <c r="K19" s="134">
        <f t="shared" si="18"/>
        <v>1875</v>
      </c>
      <c r="L19" s="134">
        <f t="shared" si="18"/>
        <v>4444</v>
      </c>
      <c r="M19" s="134">
        <f t="shared" si="18"/>
        <v>476</v>
      </c>
      <c r="N19" s="134">
        <f t="shared" si="18"/>
        <v>963</v>
      </c>
      <c r="O19" s="134">
        <f t="shared" si="18"/>
        <v>379</v>
      </c>
      <c r="P19" s="134">
        <f t="shared" si="18"/>
        <v>373</v>
      </c>
      <c r="Q19" s="134">
        <f t="shared" si="18"/>
        <v>154</v>
      </c>
      <c r="R19" s="134">
        <f t="shared" si="18"/>
        <v>3951</v>
      </c>
      <c r="S19" s="134">
        <f t="shared" si="18"/>
        <v>3267</v>
      </c>
      <c r="T19" s="134">
        <f t="shared" si="18"/>
        <v>1620</v>
      </c>
      <c r="U19" s="134">
        <f t="shared" si="18"/>
        <v>1435</v>
      </c>
      <c r="V19" s="134">
        <f t="shared" si="18"/>
        <v>3452</v>
      </c>
      <c r="W19" s="134">
        <f t="shared" si="18"/>
        <v>363</v>
      </c>
      <c r="X19" s="134">
        <f t="shared" si="18"/>
        <v>626</v>
      </c>
      <c r="Y19" s="134">
        <f t="shared" si="18"/>
        <v>145</v>
      </c>
      <c r="Z19" s="134">
        <f t="shared" si="18"/>
        <v>123</v>
      </c>
      <c r="AA19" s="134">
        <f t="shared" si="18"/>
        <v>99</v>
      </c>
      <c r="AB19" s="134">
        <f t="shared" si="18"/>
        <v>169</v>
      </c>
      <c r="AC19" s="134">
        <f t="shared" si="18"/>
        <v>1</v>
      </c>
      <c r="AD19" s="134">
        <f t="shared" si="18"/>
        <v>1</v>
      </c>
      <c r="AE19" s="134">
        <f t="shared" si="18"/>
        <v>1</v>
      </c>
      <c r="AF19" s="134">
        <f t="shared" si="18"/>
        <v>1</v>
      </c>
      <c r="AG19" s="134">
        <f t="shared" si="18"/>
        <v>138</v>
      </c>
      <c r="AH19" s="134">
        <f t="shared" si="18"/>
        <v>71</v>
      </c>
      <c r="AI19" s="134">
        <f t="shared" si="18"/>
        <v>76</v>
      </c>
      <c r="AJ19" s="134">
        <f t="shared" si="18"/>
        <v>133</v>
      </c>
      <c r="AK19" s="134">
        <f t="shared" si="18"/>
        <v>1</v>
      </c>
      <c r="AL19" s="134">
        <f t="shared" si="18"/>
        <v>1</v>
      </c>
      <c r="AM19" s="134">
        <f t="shared" si="18"/>
        <v>1</v>
      </c>
      <c r="AN19" s="210">
        <f t="shared" si="18"/>
        <v>1</v>
      </c>
      <c r="AO19" s="211">
        <v>5</v>
      </c>
      <c r="AP19" s="211">
        <v>4</v>
      </c>
      <c r="AQ19" s="211">
        <v>4</v>
      </c>
      <c r="AR19" s="211">
        <v>4</v>
      </c>
      <c r="AS19" s="153">
        <f t="shared" si="18"/>
        <v>0</v>
      </c>
      <c r="AT19" s="153">
        <f t="shared" si="18"/>
        <v>0</v>
      </c>
      <c r="AU19" s="211"/>
      <c r="AV19" s="212"/>
      <c r="AW19" s="211"/>
      <c r="AX19" s="212"/>
      <c r="AY19" s="133">
        <f>SUBTOTAL(9,AY9:AY18)</f>
        <v>3405</v>
      </c>
      <c r="AZ19" s="134">
        <f>SUBTOTAL(9,AZ9:AZ18)</f>
        <v>1691</v>
      </c>
      <c r="BA19" s="134">
        <f>SUBTOTAL(9,BA9:BA18)</f>
        <v>1511</v>
      </c>
      <c r="BB19" s="134">
        <f>SUBTOTAL(9,BB9:BB18)</f>
        <v>3585</v>
      </c>
      <c r="BC19" s="135">
        <f>SUBTOTAL(9,BC9:BC18)</f>
        <v>296</v>
      </c>
      <c r="BD19" s="213">
        <f>IF(ISNUMBER(BA19/AZ19),BA19/AZ19," - ")</f>
        <v>0.89355410999408635</v>
      </c>
      <c r="BE19" s="210">
        <f>IF(ISNUMBER(BB19/BA19),BB19/BA19, " - ")</f>
        <v>2.3726009265387162</v>
      </c>
      <c r="BF19" s="210">
        <f>IF(ISNUMBER(BC19/BA19),BC19/BA19, " - ")</f>
        <v>0.19589675711449372</v>
      </c>
      <c r="BG19" s="135">
        <f>IF(ISNUMBER((AY19+AZ19)/BA19),(AY19+AZ19)/BA19," - ")</f>
        <v>3.3726009265387162</v>
      </c>
      <c r="BH19" s="211">
        <f>SUBTOTAL(9,BH9:BH18)</f>
        <v>10</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7/6bmRIWGYLtpdC28/ZxvDd1DIJOfrp4ix8GOcwDgYFaosqTFFjDjLVYYsZxOJRzjo04mPgEeYbyEhhx7Q9qog==" saltValue="J+7DDrEZXX7B0OdvJGuFmQ=="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GALICIA</v>
      </c>
    </row>
    <row r="4" spans="1:156" ht="13.5" thickBot="1">
      <c r="A4" t="str">
        <f>Criterios!A10</f>
        <v>Provincias</v>
      </c>
      <c r="B4" t="str">
        <f>Criterios!B10</f>
        <v>A CORUÑA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HsBP+ukDIl9mJUBVEK6OhqfirLXuQ7SbrkrbjdxZgoS2XXV7/0u7RtywRl1Jp/T5hoUHtZ/MYMTo1JfD6t4ZLQ==" saltValue="Fh6Z6NOqoeH7gZ/7e6Q4/Q=="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GALICIA</v>
      </c>
    </row>
    <row r="2" spans="1:78" ht="16.5" customHeight="1">
      <c r="C2" s="488" t="str">
        <f>Criterios!A10 &amp;"  "&amp;Criterios!B10 &amp; "  " &amp; IF(NOT(ISBLANK(Criterios!A11)),Criterios!A11 &amp;"  "&amp;Criterios!B11,"")</f>
        <v>Provincias  A CORUÑA  Resumenes por Partidos Judiciales  BETANZOS</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10</v>
      </c>
      <c r="G10" s="333">
        <f>IF(ISNUMBER(Datos!I10),Datos!I10," - ")</f>
        <v>10</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3</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9</v>
      </c>
      <c r="AC10" s="226">
        <f>IF(ISNUMBER(Datos!Q10),Datos!Q10," - ")</f>
        <v>0</v>
      </c>
      <c r="AD10" s="334"/>
      <c r="AE10" s="484"/>
      <c r="AF10" s="332">
        <f>IF(ISNUMBER(Datos!L10),Datos!L10,"-")</f>
        <v>13</v>
      </c>
      <c r="AG10" s="334"/>
      <c r="AH10" s="334"/>
      <c r="AI10" s="334"/>
      <c r="AJ10" s="334"/>
      <c r="AK10" s="334"/>
      <c r="AL10" s="479"/>
      <c r="AM10" s="335">
        <f>IF(ISNUMBER(Datos!R10),Datos!R10," - ")</f>
        <v>12</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7</v>
      </c>
      <c r="BD10" s="229">
        <f>IF(ISNUMBER(Datos!N10),Datos!N10," - ")</f>
        <v>0</v>
      </c>
      <c r="BE10" s="229" t="str">
        <f>IF(ISNUMBER(Datos!BW10),Datos!BW10," - ")</f>
        <v xml:space="preserve"> - </v>
      </c>
      <c r="BF10" s="228" t="str">
        <f>IF(ISNUMBER(Datos!BX10),Datos!BX10," - ")</f>
        <v xml:space="preserve"> - </v>
      </c>
      <c r="BG10" s="243">
        <f>IF(ISNUMBER(Datos!K10/Datos!J10),Datos!K10/Datos!J10," - ")</f>
        <v>0.75</v>
      </c>
      <c r="BH10" s="260">
        <f>IF(ISNUMBER(((Datos!L10/Datos!K10)*11)/factor_trimestre),((Datos!L10/Datos!K10)*11)/factor_trimestre," - ")</f>
        <v>4.3333333333333339</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0.33333333333333331</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4</v>
      </c>
      <c r="B12" s="507" t="s">
        <v>246</v>
      </c>
      <c r="C12" s="7" t="str">
        <f>Datos!A12</f>
        <v xml:space="preserve">Jdos. 1ª Instª. e Instr.                        </v>
      </c>
      <c r="D12" s="508"/>
      <c r="E12" s="260">
        <f>IF(ISNUMBER(Datos!AQ12),Datos!AQ12," - ")</f>
        <v>4</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123</v>
      </c>
      <c r="O12" s="334"/>
      <c r="P12" s="334"/>
      <c r="Q12" s="226">
        <f>IF(ISNUMBER(Datos!P12),Datos!P12,0)</f>
        <v>339</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134</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169</v>
      </c>
      <c r="AI12" s="334" t="str">
        <f>IF(ISNUMBER(Datos!CD12),Datos!CD12,"-")</f>
        <v>-</v>
      </c>
      <c r="AJ12" s="334" t="str">
        <f>IF(ISNUMBER(Datos!EN12),Datos!EN12," - ")</f>
        <v xml:space="preserve"> - </v>
      </c>
      <c r="AK12" s="334"/>
      <c r="AL12" s="479"/>
      <c r="AM12" s="335">
        <f>IF(ISNUMBER(Datos!R12),Datos!R12," - ")</f>
        <v>3819</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351</v>
      </c>
      <c r="BD12" s="229">
        <f>IF(ISNUMBER(Datos!N12),Datos!N12," - ")</f>
        <v>464</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0.78072111846946279</v>
      </c>
      <c r="BH12" s="260">
        <f>IF(ISNUMBER(((IF(J_V="SI",Datos!L12/Datos!K12,(Datos!L12+Datos!AB12)/(Datos!K12+Datos!AA12)))*11)/factor_trimestre),((IF(J_V="SI",Datos!L12/Datos!K12,(Datos!L12+Datos!AB12)/(Datos!K12+Datos!AA12)))*11)/factor_trimestre," - ")</f>
        <v>9.7860508953817149</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5.6723851687880467E-2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4</v>
      </c>
      <c r="F13" s="898">
        <f t="shared" si="0"/>
        <v>10</v>
      </c>
      <c r="G13" s="898">
        <f t="shared" si="0"/>
        <v>10</v>
      </c>
      <c r="H13" s="899">
        <f t="shared" si="0"/>
        <v>0</v>
      </c>
      <c r="I13" s="898">
        <f t="shared" si="0"/>
        <v>0</v>
      </c>
      <c r="J13" s="867">
        <f t="shared" si="0"/>
        <v>0</v>
      </c>
      <c r="K13" s="867">
        <f t="shared" si="0"/>
        <v>0</v>
      </c>
      <c r="L13" s="899">
        <f t="shared" si="0"/>
        <v>0</v>
      </c>
      <c r="M13" s="899">
        <f t="shared" si="0"/>
        <v>0</v>
      </c>
      <c r="N13" s="899">
        <f t="shared" si="0"/>
        <v>123</v>
      </c>
      <c r="O13" s="900">
        <f t="shared" si="0"/>
        <v>0</v>
      </c>
      <c r="P13" s="900">
        <f t="shared" si="0"/>
        <v>0</v>
      </c>
      <c r="Q13" s="899">
        <f t="shared" si="0"/>
        <v>342</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9</v>
      </c>
      <c r="AC13" s="899">
        <f t="shared" si="1"/>
        <v>134</v>
      </c>
      <c r="AD13" s="899">
        <f t="shared" si="1"/>
        <v>0</v>
      </c>
      <c r="AE13" s="899">
        <f t="shared" si="1"/>
        <v>0</v>
      </c>
      <c r="AF13" s="899">
        <f t="shared" si="1"/>
        <v>13</v>
      </c>
      <c r="AG13" s="899">
        <f t="shared" si="1"/>
        <v>0</v>
      </c>
      <c r="AH13" s="899">
        <f t="shared" si="1"/>
        <v>169</v>
      </c>
      <c r="AI13" s="899">
        <f t="shared" si="1"/>
        <v>0</v>
      </c>
      <c r="AJ13" s="899">
        <f t="shared" si="1"/>
        <v>0</v>
      </c>
      <c r="AK13" s="899">
        <f t="shared" si="1"/>
        <v>0</v>
      </c>
      <c r="AL13" s="899">
        <f t="shared" si="1"/>
        <v>0</v>
      </c>
      <c r="AM13" s="899">
        <f t="shared" si="1"/>
        <v>3831</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358</v>
      </c>
      <c r="BD13" s="899">
        <f t="shared" si="1"/>
        <v>464</v>
      </c>
      <c r="BE13" s="899">
        <f t="shared" si="1"/>
        <v>0</v>
      </c>
      <c r="BF13" s="899">
        <f t="shared" si="1"/>
        <v>0</v>
      </c>
      <c r="BG13" s="899">
        <f>IF(ISNUMBER(Datos!K13/Datos!J13),Datos!K13/Datos!J13," - ")</f>
        <v>0.77804487179487181</v>
      </c>
      <c r="BH13" s="903">
        <f>IF(ISNUMBER(((Datos!L13/Datos!K13)*11)/factor_trimestre),((Datos!L13/Datos!K13)*11)/factor_trimestre," - ")</f>
        <v>10.211122554067972</v>
      </c>
      <c r="BI13" s="899">
        <f>IF(ISNUMBER('Resol  Asuntos'!D13/NºAsuntos!G13),'Resol  Asuntos'!D13/NºAsuntos!G13," - ")</f>
        <v>0.33457943925233646</v>
      </c>
      <c r="BJ13" s="899" t="str">
        <f>IF(ISNUMBER(Datos!CI13/Datos!CJ13),Datos!CI13/Datos!CJ13," - ")</f>
        <v xml:space="preserve"> - </v>
      </c>
      <c r="BK13" s="899">
        <f>SUBTOTAL(9,BK8:BK12)</f>
        <v>0</v>
      </c>
      <c r="BL13" s="899">
        <f>IF(ISNUMBER((I13-AB13+L13)/(F13)),(I13-AB13+L13)/(F13)," - ")</f>
        <v>-0.9</v>
      </c>
      <c r="BM13" s="904">
        <f>SUBTOTAL(9,BM9:BM12)</f>
        <v>0.39005718502121378</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4</v>
      </c>
      <c r="B16" s="594" t="s">
        <v>396</v>
      </c>
      <c r="C16" s="600" t="str">
        <f>Datos!A16</f>
        <v xml:space="preserve">Jdos. 1ª Instª. e Instr.                        </v>
      </c>
      <c r="D16" s="601"/>
      <c r="E16" s="1165">
        <f>IF(ISNUMBER(Datos!AQ16),Datos!AQ16," - ")</f>
        <v>4</v>
      </c>
      <c r="F16" s="595">
        <f>IF(ISNUMBER(AF16+AB16-Datos!J16-L16),AF16+AB16-Datos!J16-L16," - ")</f>
        <v>1076</v>
      </c>
      <c r="G16" s="598">
        <f>IF(ISNUMBER(IF(D_I="SI",Datos!I16,Datos!I16+Datos!AC16)),IF(D_I="SI",Datos!I16,Datos!I16+Datos!AC16)," - ")</f>
        <v>1072</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29</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801</v>
      </c>
      <c r="AC16" s="226">
        <f>IF(ISNUMBER(Datos!Q16),Datos!Q16," - ")</f>
        <v>20</v>
      </c>
      <c r="AD16" s="334"/>
      <c r="AE16" s="484"/>
      <c r="AF16" s="596">
        <f>IF(ISNUMBER(IF(D_I="SI",Datos!L16,Datos!L16+Datos!AF16)),IF(D_I="SI",Datos!L16,Datos!L16+Datos!AF16)," - ")</f>
        <v>1109</v>
      </c>
      <c r="AG16" s="334"/>
      <c r="AH16" s="334"/>
      <c r="AI16" s="334"/>
      <c r="AJ16" s="334"/>
      <c r="AK16" s="334"/>
      <c r="AL16" s="479"/>
      <c r="AM16" s="335">
        <f>IF(ISNUMBER(Datos!R16),Datos!R16," - ")</f>
        <v>118</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103</v>
      </c>
      <c r="BD16" s="229">
        <f>IF(ISNUMBER(Datos!N16),Datos!N16," - ")</f>
        <v>453</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0.96043165467625902</v>
      </c>
      <c r="BH16" s="260">
        <f>IF(ISNUMBER(((IF(D_I="SI",Datos!L16/Datos!K16,(Datos!L16+Datos!AF16)/(Datos!K16+Datos!AE16)))*11)/factor_trimestre),((IF(D_I="SI",Datos!L16/Datos!K16,(Datos!L16+Datos!AF16)/(Datos!K16+Datos!AE16)))*11)/factor_trimestre," - ")</f>
        <v>4.1535580524344571</v>
      </c>
      <c r="BI16" s="243">
        <f>IF(ISNUMBER('Resol  Asuntos'!D16/NºAsuntos!G16),'Resol  Asuntos'!D16/NºAsuntos!G16," - ")</f>
        <v>0.1285892634207241</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59</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2</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103</v>
      </c>
      <c r="AC17" s="226">
        <f>IF(ISNUMBER(Datos!Q17),Datos!Q17," - ")</f>
        <v>0</v>
      </c>
      <c r="AD17" s="334"/>
      <c r="AE17" s="484"/>
      <c r="AF17" s="332">
        <f>IF(ISNUMBER(Datos!L17),Datos!L17,"-")</f>
        <v>30</v>
      </c>
      <c r="AG17" s="334"/>
      <c r="AH17" s="334"/>
      <c r="AI17" s="334"/>
      <c r="AJ17" s="334"/>
      <c r="AK17" s="334"/>
      <c r="AL17" s="479"/>
      <c r="AM17" s="335">
        <f>IF(ISNUMBER(Datos!R17),Datos!R17," - ")</f>
        <v>2</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15</v>
      </c>
      <c r="BD17" s="229">
        <f>IF(ISNUMBER(Datos!N17),Datos!N17," - ")</f>
        <v>46</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1.3918918918918919</v>
      </c>
      <c r="BH17" s="260">
        <f>IF(ISNUMBER(((IF(D_I="SI",Datos!L17/Datos!K17,(Datos!L17+Datos!AF17)/(Datos!K17+Datos!AE17)))*11)/factor_trimestre),((IF(D_I="SI",Datos!L17/Datos!K17,(Datos!L17+Datos!AF17)/(Datos!K17+Datos!AE17)))*11)/factor_trimestre," - ")</f>
        <v>0.87378640776699035</v>
      </c>
      <c r="BI17" s="243">
        <f>IF(ISNUMBER('Resol  Asuntos'!D17/NºAsuntos!G17),'Resol  Asuntos'!D17/NºAsuntos!G17," - ")</f>
        <v>0.14563106796116504</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4</v>
      </c>
      <c r="F18" s="898">
        <f>SUBTOTAL(9,F15:F17)</f>
        <v>1076</v>
      </c>
      <c r="G18" s="898">
        <f>SUBTOTAL(9,G15:G17)</f>
        <v>1131</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31</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904</v>
      </c>
      <c r="AC18" s="899">
        <f t="shared" si="4"/>
        <v>20</v>
      </c>
      <c r="AD18" s="899">
        <f t="shared" si="4"/>
        <v>0</v>
      </c>
      <c r="AE18" s="899">
        <f t="shared" si="4"/>
        <v>0</v>
      </c>
      <c r="AF18" s="899">
        <f t="shared" si="4"/>
        <v>1139</v>
      </c>
      <c r="AG18" s="899">
        <f t="shared" si="4"/>
        <v>0</v>
      </c>
      <c r="AH18" s="899">
        <f t="shared" si="4"/>
        <v>0</v>
      </c>
      <c r="AI18" s="899">
        <f t="shared" si="4"/>
        <v>0</v>
      </c>
      <c r="AJ18" s="899">
        <f t="shared" si="4"/>
        <v>0</v>
      </c>
      <c r="AK18" s="899">
        <f t="shared" si="4"/>
        <v>0</v>
      </c>
      <c r="AL18" s="899">
        <f t="shared" si="4"/>
        <v>0</v>
      </c>
      <c r="AM18" s="899">
        <f t="shared" si="4"/>
        <v>120</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118</v>
      </c>
      <c r="BD18" s="899">
        <f t="shared" si="4"/>
        <v>499</v>
      </c>
      <c r="BE18" s="899">
        <f t="shared" si="4"/>
        <v>0</v>
      </c>
      <c r="BF18" s="899">
        <f t="shared" si="4"/>
        <v>0</v>
      </c>
      <c r="BG18" s="899">
        <f>IF(ISNUMBER(Datos!K18/Datos!J18),Datos!K18/Datos!J18," - ")</f>
        <v>0.99559471365638763</v>
      </c>
      <c r="BH18" s="903">
        <f>IF(ISNUMBER(((Datos!L18/Datos!K18)*11)/factor_trimestre),((Datos!L18/Datos!K18)*11)/factor_trimestre," - ")</f>
        <v>3.7798672566371683</v>
      </c>
      <c r="BI18" s="899">
        <f>SUBTOTAL(9,BI15:BI17)</f>
        <v>0.27422033138188917</v>
      </c>
      <c r="BJ18" s="899">
        <f>SUBTOTAL(9,BJ15:BJ17)</f>
        <v>0</v>
      </c>
      <c r="BK18" s="899">
        <f>SUBTOTAL(9,BK15:BK17)</f>
        <v>0</v>
      </c>
      <c r="BL18" s="899">
        <f>IF(ISNUMBER((I18-AB18+L18)/(F18)),(I18-AB18+L18)/(F18)," - ")</f>
        <v>-0.8401486988847584</v>
      </c>
      <c r="BM18" s="905">
        <f>IF(ISNUMBER((Datos!P18-Datos!Q18)/(Datos!R18-Datos!P18+Datos!Q18)),(Datos!P18-Datos!Q18)/(Datos!R18-Datos!P18+Datos!Q18)," - ")</f>
        <v>0.10091743119266056</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8</v>
      </c>
      <c r="F19" s="820">
        <f t="shared" si="6"/>
        <v>1086</v>
      </c>
      <c r="G19" s="820">
        <f t="shared" si="6"/>
        <v>1141</v>
      </c>
      <c r="H19" s="822">
        <f t="shared" si="6"/>
        <v>0</v>
      </c>
      <c r="I19" s="820">
        <f t="shared" si="6"/>
        <v>0</v>
      </c>
      <c r="J19" s="822">
        <f t="shared" si="6"/>
        <v>0</v>
      </c>
      <c r="K19" s="822">
        <f t="shared" si="6"/>
        <v>0</v>
      </c>
      <c r="L19" s="881">
        <f t="shared" si="6"/>
        <v>0</v>
      </c>
      <c r="M19" s="881">
        <f t="shared" si="6"/>
        <v>0</v>
      </c>
      <c r="N19" s="881">
        <f t="shared" si="6"/>
        <v>123</v>
      </c>
      <c r="O19" s="881">
        <f t="shared" si="6"/>
        <v>0</v>
      </c>
      <c r="P19" s="881">
        <f t="shared" si="6"/>
        <v>0</v>
      </c>
      <c r="Q19" s="822">
        <f t="shared" si="6"/>
        <v>373</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913</v>
      </c>
      <c r="AC19" s="821">
        <f t="shared" si="7"/>
        <v>154</v>
      </c>
      <c r="AD19" s="821">
        <f t="shared" si="7"/>
        <v>0</v>
      </c>
      <c r="AE19" s="821">
        <f t="shared" si="7"/>
        <v>0</v>
      </c>
      <c r="AF19" s="828">
        <f t="shared" si="7"/>
        <v>1152</v>
      </c>
      <c r="AG19" s="828">
        <f t="shared" si="7"/>
        <v>0</v>
      </c>
      <c r="AH19" s="828">
        <f t="shared" si="7"/>
        <v>169</v>
      </c>
      <c r="AI19" s="828">
        <f t="shared" si="7"/>
        <v>0</v>
      </c>
      <c r="AJ19" s="821">
        <f t="shared" si="7"/>
        <v>0</v>
      </c>
      <c r="AK19" s="828">
        <f t="shared" si="7"/>
        <v>0</v>
      </c>
      <c r="AL19" s="828">
        <f t="shared" si="7"/>
        <v>0</v>
      </c>
      <c r="AM19" s="828">
        <f t="shared" si="7"/>
        <v>3951</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476</v>
      </c>
      <c r="BD19" s="820">
        <f t="shared" si="7"/>
        <v>963</v>
      </c>
      <c r="BE19" s="820">
        <f t="shared" si="7"/>
        <v>0</v>
      </c>
      <c r="BF19" s="830">
        <f t="shared" si="7"/>
        <v>0</v>
      </c>
      <c r="BG19" s="915">
        <f>IF(ISNUMBER(Datos!K19/Datos!J19),Datos!K19/Datos!J19," - ")</f>
        <v>0.86966604823747684</v>
      </c>
      <c r="BH19" s="915">
        <f>IF(ISNUMBER(((Datos!L19/Datos!K19)*11)/factor_trimestre),((Datos!L19/Datos!K19)*11)/factor_trimestre," - ")</f>
        <v>7.1104000000000003</v>
      </c>
      <c r="BI19" s="813">
        <f>IF(ISNUMBER(Datos!J19/Datos!I19),Datos!J19/Datos!I19," - ")</f>
        <v>0.51839384467420058</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-0.8406998158379374</v>
      </c>
      <c r="BM19" s="889">
        <f>IF(ISNUMBER((Datos!P19-Datos!Q19+R19)/(Datos!R19-Datos!P19+Datos!Q19-R19)),(Datos!P19-Datos!Q19+R19)/(Datos!R19-Datos!P19+Datos!Q19-R19)," - ")</f>
        <v>5.8681672025723476E-2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456.4</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2.1081851067789197</v>
      </c>
      <c r="F21" s="551">
        <f>IF(ISNUMBER(STDEV(F8:F18)),STDEV(F8:F18),"-")</f>
        <v>615.45538695614107</v>
      </c>
      <c r="G21" s="552">
        <f>IF(ISNUMBER(STDEV(G8:G18)),STDEV(G8:G18),"-")</f>
        <v>589.60181478689492</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447.97678511280026</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158.19060233359841</v>
      </c>
      <c r="BD21" s="551"/>
      <c r="BE21" s="551">
        <f>IF(ISNUMBER(STDEV(BE8:BE18)),STDEV(BE8:BE18),"-")</f>
        <v>0</v>
      </c>
      <c r="BF21" s="556">
        <f>IF(ISNUMBER(STDEV(BF8:BF18)),STDEV(BF8:BF18),"-")</f>
        <v>0</v>
      </c>
      <c r="BG21" s="775">
        <f>IF(ISNUMBER(STDEV(BG8:BG18)),STDEV(BG8:BG18),"-")</f>
        <v>0.24305033975487789</v>
      </c>
      <c r="BH21" s="776">
        <f>IF(ISNUMBER(STDEV(BH8:BH18)),STDEV(BH8:BH18),"-")</f>
        <v>3.6904328423123021</v>
      </c>
      <c r="BI21" s="249">
        <f>IF(ISNUMBER(STDEV(BI8:BI18)),STDEV(BI8:BI18),"-")</f>
        <v>9.9921090191306114E-2</v>
      </c>
      <c r="BJ21" s="230" t="str">
        <f>IF(ISNUMBER(BL21/BM21),BL21/BM21," - ")</f>
        <v xml:space="preserve"> - </v>
      </c>
      <c r="BK21" s="575"/>
      <c r="BL21" s="559">
        <f>IF(ISNUMBER(STDEV(BL8:BL18)),STDEV(BL8:BL18),"-")</f>
        <v>4.2321260881425321E-2</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24 sep. 2024</v>
      </c>
    </row>
    <row r="32" spans="1:78">
      <c r="C32" s="527"/>
      <c r="D32" s="527"/>
    </row>
  </sheetData>
  <sheetProtection algorithmName="SHA-512" hashValue="5EXoCd3/wbmYRdtuhnT76BBacxEoqkF2xnSiWwrZvVTSqxcRxCfpUJ52vPJksYMIbcgA7CGS2fCxPMB0XFydrg==" saltValue="l6yJiXbeXc4LW041TC9QxA=="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GALICIA</v>
      </c>
    </row>
    <row r="2" spans="1:78" ht="16.5" customHeight="1">
      <c r="C2" s="528" t="str">
        <f>Criterios!A10 &amp;"  "&amp;Criterios!B10 &amp; "  " &amp; IF(NOT(ISBLANK(Criterios!A11)),Criterios!A11 &amp;"  "&amp;Criterios!B11,"")</f>
        <v>Provincias  A CORUÑA  Resumenes por Partidos Judiciales  BETANZOS</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2 al 2</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10</v>
      </c>
      <c r="G10" s="225">
        <f>IF(ISNUMBER(Datos!I10),Datos!I10," - ")</f>
        <v>10</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3</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9</v>
      </c>
      <c r="Z10" s="619">
        <f>IF(ISNUMBER(Datos!Q10),Datos!Q10," - ")</f>
        <v>0</v>
      </c>
      <c r="AA10" s="332">
        <f>IF(ISNUMBER(Datos!L10),Datos!L10,"-")</f>
        <v>13</v>
      </c>
      <c r="AB10" s="334"/>
      <c r="AC10" s="334"/>
      <c r="AD10" s="484"/>
      <c r="AE10" s="484">
        <f>IF(ISNUMBER(Datos!R10),Datos!R10," - ")</f>
        <v>12</v>
      </c>
      <c r="AF10" s="229" t="str">
        <f>IF(ISNUMBER(Datos!BV10),Datos!BV10," - ")</f>
        <v xml:space="preserve"> - </v>
      </c>
      <c r="AG10" s="225" t="str">
        <f>IF(ISNUMBER(Datos!DV10),Datos!DV10," - ")</f>
        <v xml:space="preserve"> - </v>
      </c>
      <c r="AH10" s="298"/>
      <c r="AI10" s="227"/>
      <c r="AJ10" s="225">
        <f>IF(ISNUMBER(Datos!M10),Datos!M10," - ")</f>
        <v>7</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4.3333333333333339</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0.33333333333333331</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4</v>
      </c>
      <c r="B12" s="507" t="s">
        <v>246</v>
      </c>
      <c r="C12" s="7" t="str">
        <f>Datos!A12</f>
        <v xml:space="preserve">Jdos. 1ª Instª. e Instr.                        </v>
      </c>
      <c r="D12" s="508"/>
      <c r="E12" s="1168">
        <f>IF(ISNUMBER(Datos!AQ12),Datos!AQ12," - ")</f>
        <v>4</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339</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134</v>
      </c>
      <c r="AA12" s="332" t="str">
        <f>IF(ISNUMBER(IF(J_V="SI",Datos!L12,Datos!L12+Datos!AB12)-IF(Monitorios="SI",Datos!CD12,0)),
                          IF(J_V="SI",Datos!L12,Datos!L12+Datos!AB12)-IF(Monitorios="SI",Datos!CD12,0),
                          " - ")</f>
        <v xml:space="preserve"> - </v>
      </c>
      <c r="AB12" s="334"/>
      <c r="AC12" s="334"/>
      <c r="AD12" s="484"/>
      <c r="AE12" s="484">
        <f>IF(ISNUMBER(Datos!R12),Datos!R12," - ")</f>
        <v>3819</v>
      </c>
      <c r="AF12" s="229" t="str">
        <f>IF(ISNUMBER(Datos!BV12),Datos!BV12," - ")</f>
        <v xml:space="preserve"> - </v>
      </c>
      <c r="AG12" s="225" t="str">
        <f>IF(ISNUMBER(Datos!DV12),Datos!DV12," - ")</f>
        <v xml:space="preserve"> - </v>
      </c>
      <c r="AH12" s="298"/>
      <c r="AI12" s="227"/>
      <c r="AJ12" s="225">
        <f>IF(ISNUMBER(Datos!M12),Datos!M12," - ")</f>
        <v>351</v>
      </c>
      <c r="AK12" s="229">
        <f>IF(ISNUMBER(Datos!N12),Datos!N12," - ")</f>
        <v>464</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9.7860508953817149</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5.6723851687880467E-2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4</v>
      </c>
      <c r="F13" s="898">
        <f>SUBTOTAL(9,F8:F12)</f>
        <v>10</v>
      </c>
      <c r="G13" s="898">
        <f>SUBTOTAL(9,G8:G12)</f>
        <v>10</v>
      </c>
      <c r="H13" s="908"/>
      <c r="I13" s="898">
        <f t="shared" ref="I13:N13" si="0">SUBTOTAL(9,I8:I12)</f>
        <v>0</v>
      </c>
      <c r="J13" s="867">
        <f t="shared" si="0"/>
        <v>0</v>
      </c>
      <c r="K13" s="908">
        <f t="shared" si="0"/>
        <v>0</v>
      </c>
      <c r="L13" s="908">
        <f t="shared" si="0"/>
        <v>0</v>
      </c>
      <c r="M13" s="908">
        <f t="shared" si="0"/>
        <v>0</v>
      </c>
      <c r="N13" s="908">
        <f t="shared" si="0"/>
        <v>342</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9</v>
      </c>
      <c r="Z13" s="907">
        <f t="shared" si="2"/>
        <v>134</v>
      </c>
      <c r="AA13" s="900">
        <f t="shared" si="2"/>
        <v>13</v>
      </c>
      <c r="AB13" s="900">
        <f t="shared" si="2"/>
        <v>0</v>
      </c>
      <c r="AC13" s="900">
        <f t="shared" si="2"/>
        <v>0</v>
      </c>
      <c r="AD13" s="900">
        <f t="shared" si="2"/>
        <v>0</v>
      </c>
      <c r="AE13" s="900">
        <f t="shared" si="2"/>
        <v>3831</v>
      </c>
      <c r="AF13" s="908">
        <f t="shared" si="2"/>
        <v>0</v>
      </c>
      <c r="AG13" s="908">
        <f t="shared" si="2"/>
        <v>0</v>
      </c>
      <c r="AH13" s="908">
        <f t="shared" si="2"/>
        <v>0</v>
      </c>
      <c r="AI13" s="908">
        <f t="shared" si="2"/>
        <v>0</v>
      </c>
      <c r="AJ13" s="908">
        <f t="shared" si="2"/>
        <v>358</v>
      </c>
      <c r="AK13" s="908">
        <f t="shared" si="2"/>
        <v>464</v>
      </c>
      <c r="AL13" s="908">
        <f t="shared" si="2"/>
        <v>0</v>
      </c>
      <c r="AM13" s="908">
        <f t="shared" si="2"/>
        <v>0</v>
      </c>
      <c r="AN13" s="908">
        <f t="shared" si="2"/>
        <v>0</v>
      </c>
      <c r="AO13" s="904">
        <f>IF(ISNUMBER(((NºAsuntos!I13/NºAsuntos!G13)*11)/factor_trimestre),((NºAsuntos!I13/NºAsuntos!G13)*11)/factor_trimestre," - ")</f>
        <v>9.7401869158878505</v>
      </c>
      <c r="AP13" s="910" t="str">
        <f>IF(ISNUMBER(Datos!CI13/Datos!CJ13),Datos!CI13/Datos!CJ13," - ")</f>
        <v xml:space="preserve"> - </v>
      </c>
      <c r="AQ13" s="928">
        <f t="shared" ref="AQ13:AV13" si="3">SUBTOTAL(9,AQ9:AQ12)</f>
        <v>0</v>
      </c>
      <c r="AR13" s="928">
        <f t="shared" si="3"/>
        <v>0.39005718502121378</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4</v>
      </c>
      <c r="B16" s="507" t="s">
        <v>396</v>
      </c>
      <c r="C16" s="160" t="str">
        <f>Datos!A16</f>
        <v xml:space="preserve">Jdos. 1ª Instª. e Instr.                        </v>
      </c>
      <c r="D16" s="502"/>
      <c r="E16" s="1168">
        <f>IF(ISNUMBER(Datos!AQ16),Datos!AQ16," - ")</f>
        <v>4</v>
      </c>
      <c r="F16" s="333">
        <f>IF(ISNUMBER(AA16+Y16-Datos!J16-K15),AA16+Y16-Datos!J16-K15," - ")</f>
        <v>1076</v>
      </c>
      <c r="G16" s="225">
        <f>IF(ISNUMBER(IF(D_I="SI",Datos!I16,Datos!I16+Datos!AC16)),IF(D_I="SI",Datos!I16,Datos!I16+Datos!AC16)," - ")</f>
        <v>1072</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29</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801</v>
      </c>
      <c r="Z16" s="619">
        <f>IF(ISNUMBER(Datos!Q16),Datos!Q16," - ")</f>
        <v>20</v>
      </c>
      <c r="AA16" s="332">
        <f>IF(ISNUMBER(IF(D_I="SI",Datos!L16,Datos!L16+Datos!AF16)),IF(D_I="SI",Datos!L16,Datos!L16+Datos!AF16)," - ")</f>
        <v>1109</v>
      </c>
      <c r="AB16" s="334"/>
      <c r="AC16" s="334"/>
      <c r="AD16" s="484"/>
      <c r="AE16" s="484">
        <f>IF(ISNUMBER(Datos!R16),Datos!R16," - ")</f>
        <v>118</v>
      </c>
      <c r="AF16" s="229" t="str">
        <f>IF(ISNUMBER(Datos!BV16),Datos!BV16," - ")</f>
        <v xml:space="preserve"> - </v>
      </c>
      <c r="AG16" s="225"/>
      <c r="AH16" s="298"/>
      <c r="AI16" s="227"/>
      <c r="AJ16" s="225">
        <f>IF(ISNUMBER(Datos!M16),Datos!M16," - ")</f>
        <v>103</v>
      </c>
      <c r="AK16" s="229">
        <f>IF(ISNUMBER(Datos!N16),Datos!N16," - ")</f>
        <v>453</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4.1535580524344571</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59</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2</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103</v>
      </c>
      <c r="Z17" s="619">
        <f>IF(ISNUMBER(Datos!Q17),Datos!Q17," - ")</f>
        <v>0</v>
      </c>
      <c r="AA17" s="332">
        <f>IF(ISNUMBER(Datos!L17),Datos!L17,"-")</f>
        <v>30</v>
      </c>
      <c r="AB17" s="334"/>
      <c r="AC17" s="334"/>
      <c r="AD17" s="484"/>
      <c r="AE17" s="484">
        <f>IF(ISNUMBER(Datos!R17),Datos!R17," - ")</f>
        <v>2</v>
      </c>
      <c r="AF17" s="229" t="str">
        <f>IF(ISNUMBER(Datos!BV17),Datos!BV17," - ")</f>
        <v xml:space="preserve"> - </v>
      </c>
      <c r="AG17" s="225" t="str">
        <f>IF(ISNUMBER(Datos!DV17),Datos!DV17," - ")</f>
        <v xml:space="preserve"> - </v>
      </c>
      <c r="AH17" s="298"/>
      <c r="AI17" s="227"/>
      <c r="AJ17" s="225">
        <f>IF(ISNUMBER(Datos!M17),Datos!M17," - ")</f>
        <v>15</v>
      </c>
      <c r="AK17" s="229">
        <f>IF(ISNUMBER(Datos!N17),Datos!N17," - ")</f>
        <v>46</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0.87378640776699035</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4</v>
      </c>
      <c r="F18" s="898">
        <f>SUBTOTAL(9,F15:F17)</f>
        <v>1076</v>
      </c>
      <c r="G18" s="898">
        <f>SUBTOTAL(9,G15:G17)</f>
        <v>1131</v>
      </c>
      <c r="H18" s="932">
        <f>SUBTOTAL(9,H15:H17)</f>
        <v>0</v>
      </c>
      <c r="I18" s="911">
        <f>SUBTOTAL(9,I15:I17)</f>
        <v>0</v>
      </c>
      <c r="J18" s="867">
        <f>SUBTOTAL(9,J14:J17)</f>
        <v>0</v>
      </c>
      <c r="K18" s="932">
        <f t="shared" ref="K18:S18" si="4">SUBTOTAL(9,K15:K17)</f>
        <v>0</v>
      </c>
      <c r="L18" s="932">
        <f t="shared" si="4"/>
        <v>0</v>
      </c>
      <c r="M18" s="932">
        <f t="shared" si="4"/>
        <v>0</v>
      </c>
      <c r="N18" s="932">
        <f t="shared" si="4"/>
        <v>31</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904</v>
      </c>
      <c r="Z18" s="932">
        <f t="shared" si="5"/>
        <v>20</v>
      </c>
      <c r="AA18" s="932">
        <f t="shared" si="5"/>
        <v>1139</v>
      </c>
      <c r="AB18" s="932">
        <f t="shared" si="5"/>
        <v>0</v>
      </c>
      <c r="AC18" s="932">
        <f t="shared" si="5"/>
        <v>0</v>
      </c>
      <c r="AD18" s="932">
        <f t="shared" si="5"/>
        <v>0</v>
      </c>
      <c r="AE18" s="932">
        <f t="shared" si="5"/>
        <v>120</v>
      </c>
      <c r="AF18" s="932">
        <f t="shared" si="5"/>
        <v>0</v>
      </c>
      <c r="AG18" s="932">
        <f t="shared" si="5"/>
        <v>0</v>
      </c>
      <c r="AH18" s="932">
        <f t="shared" si="5"/>
        <v>0</v>
      </c>
      <c r="AI18" s="932">
        <f t="shared" si="5"/>
        <v>0</v>
      </c>
      <c r="AJ18" s="932">
        <f t="shared" si="5"/>
        <v>118</v>
      </c>
      <c r="AK18" s="932">
        <f t="shared" si="5"/>
        <v>499</v>
      </c>
      <c r="AL18" s="932">
        <f t="shared" si="5"/>
        <v>0</v>
      </c>
      <c r="AM18" s="932">
        <f t="shared" si="5"/>
        <v>0</v>
      </c>
      <c r="AN18" s="932">
        <f t="shared" si="5"/>
        <v>0</v>
      </c>
      <c r="AO18" s="934">
        <f>IF(ISNUMBER(((NºAsuntos!I18/NºAsuntos!G18)*11)/factor_trimestre),((NºAsuntos!I18/NºAsuntos!G18)*11)/factor_trimestre," - ")</f>
        <v>3.7798672566371683</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8</v>
      </c>
      <c r="F19" s="820">
        <f t="shared" si="7"/>
        <v>1086</v>
      </c>
      <c r="G19" s="820">
        <f t="shared" si="7"/>
        <v>1141</v>
      </c>
      <c r="H19" s="821">
        <f t="shared" si="7"/>
        <v>0</v>
      </c>
      <c r="I19" s="820">
        <f t="shared" si="7"/>
        <v>0</v>
      </c>
      <c r="J19" s="822">
        <f t="shared" si="7"/>
        <v>0</v>
      </c>
      <c r="K19" s="820">
        <f t="shared" si="7"/>
        <v>0</v>
      </c>
      <c r="L19" s="823">
        <f t="shared" si="7"/>
        <v>0</v>
      </c>
      <c r="M19" s="820">
        <f t="shared" si="7"/>
        <v>0</v>
      </c>
      <c r="N19" s="821">
        <f t="shared" si="7"/>
        <v>373</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913</v>
      </c>
      <c r="Z19" s="827">
        <f t="shared" si="8"/>
        <v>154</v>
      </c>
      <c r="AA19" s="828">
        <f t="shared" si="8"/>
        <v>1152</v>
      </c>
      <c r="AB19" s="828">
        <f t="shared" si="8"/>
        <v>0</v>
      </c>
      <c r="AC19" s="828">
        <f t="shared" si="8"/>
        <v>0</v>
      </c>
      <c r="AD19" s="829">
        <f t="shared" si="8"/>
        <v>0</v>
      </c>
      <c r="AE19" s="829">
        <f t="shared" si="8"/>
        <v>3951</v>
      </c>
      <c r="AF19" s="830">
        <f t="shared" si="8"/>
        <v>0</v>
      </c>
      <c r="AG19" s="831">
        <f t="shared" si="8"/>
        <v>0</v>
      </c>
      <c r="AH19" s="832">
        <f t="shared" si="8"/>
        <v>0</v>
      </c>
      <c r="AI19" s="830">
        <f t="shared" si="8"/>
        <v>0</v>
      </c>
      <c r="AJ19" s="820">
        <f t="shared" si="8"/>
        <v>476</v>
      </c>
      <c r="AK19" s="820">
        <f t="shared" si="8"/>
        <v>963</v>
      </c>
      <c r="AL19" s="820">
        <f t="shared" si="8"/>
        <v>0</v>
      </c>
      <c r="AM19" s="833">
        <f t="shared" si="8"/>
        <v>0</v>
      </c>
      <c r="AN19" s="823">
        <f>IF(ISNUMBER(Datos!K19/Datos!J19),Datos!K19/Datos!J19," - ")</f>
        <v>0.86966604823747684</v>
      </c>
      <c r="AO19" s="823">
        <f>IF(ISNUMBER(FIND("06",Criterios!A8,1)),(IF(ISNUMBER(((Datos!R19/Datos!Q19)*11)/factor_trimestre),((Datos!R19/Datos!Q19)*11)/factor_trimestre," - ")),(IF(ISNUMBER(((Datos!L19/Datos!K19)*11)/factor_trimestre),((Datos!L19/Datos!K19)*11)/factor_trimestre," - ")))</f>
        <v>7.1104000000000003</v>
      </c>
      <c r="AP19" s="834" t="str">
        <f>IF(ISNUMBER(Datos!CI19/Datos!CJ19),Datos!CI19/Datos!CJ19," - ")</f>
        <v xml:space="preserve"> - </v>
      </c>
      <c r="AQ19" s="834">
        <f>IF(OR(ISNUMBER(FIND("01",Criterios!A8,1)),ISNUMBER(FIND("02",Criterios!A8,1)),ISNUMBER(FIND("03",Criterios!A8,1)),ISNUMBER(FIND("04",Criterios!A8,1))),(J19-Y19+K19)/(F19-K19),(I19-Y19+K19)/(F19-K19))</f>
        <v>-0.8406998158379374</v>
      </c>
      <c r="AR19" s="834">
        <f>IF(ISNUMBER((Datos!P19-Datos!Q19+O19)/(Datos!R19-Datos!P19+Datos!Q19-O19)),(Datos!P19-Datos!Q19+O19)/(Datos!R19-Datos!P19+Datos!Q19-O19)," - ")</f>
        <v>5.8681672025723476E-2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456.4</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615.45538695614107</v>
      </c>
      <c r="G21" s="552">
        <f>IF(ISNUMBER(STDEV(G8:G18)),STDEV(G8:G18),"-")</f>
        <v>589.60181478689492</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158.19060233359841</v>
      </c>
      <c r="AK21" s="252"/>
      <c r="AL21" s="252">
        <f>IF(ISNUMBER(STDEV(AL8:AL18)),STDEV(AL8:AL18),"-")</f>
        <v>0</v>
      </c>
      <c r="AM21" s="254">
        <f>IF(ISNUMBER(STDEV(AM8:AM18)),STDEV(AM8:AM18),"-")</f>
        <v>0</v>
      </c>
      <c r="AN21" s="539">
        <f>IF(ISNUMBER(STDEV(AN8:AN18)),STDEV(AN8:AN18),"-")</f>
        <v>0</v>
      </c>
      <c r="AO21" s="540">
        <f>IF(ISNUMBER(STDEV(AO8:AO18)),STDEV(AO8:AO18),"-")</f>
        <v>3.5739512485274965</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24 sep. 2024</v>
      </c>
    </row>
    <row r="32" spans="1:78" ht="13.5" thickBot="1">
      <c r="C32" s="536"/>
      <c r="D32" s="527"/>
      <c r="E32" s="527"/>
    </row>
    <row r="33" spans="12:12" ht="15" thickBot="1">
      <c r="L33" s="546"/>
    </row>
  </sheetData>
  <sheetProtection algorithmName="SHA-512" hashValue="CYlAfkbQtBYcydkpXySUrvn5WBB1rmKS/oqq1dQNffP/KqHlkpTQH1r6eonVX5pYdpKh2h/OnTGgmrpRWdFe1w==" saltValue="uophb2bcBjL2t9Lo9Xme0Q=="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2 al 2</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WYh1R/3+nfRd0jQHKA2Piy+iOPAr8F9mUd47tM/RvbipHuP85ZRWtYAxHqAXl2EG/d5GXoJ/e4ZbeD33og/xdw==" saltValue="CvyOcmuApLIIJWiu13JJNw=="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GALICIA</v>
      </c>
    </row>
    <row r="4" spans="1:156" ht="13.5" thickBot="1">
      <c r="A4" t="str">
        <f>Criterios!A10</f>
        <v>Provincias</v>
      </c>
      <c r="B4" t="str">
        <f>Criterios!B10</f>
        <v>A CORUÑA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KqhlI3foCtkHYAPqJ/cmG/HA70/MZBVxuptL1/A6xXanQTrKuVVqB2OptY5PRmvL0nXReeSUxYr9hq5TFHyy6Q==" saltValue="GaEB9Z6ZtM2wT5PUzeF3rA=="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GALICIA</v>
      </c>
    </row>
    <row r="2" spans="1:78" ht="16.5" customHeight="1">
      <c r="C2" s="488" t="str">
        <f>Criterios!A10 &amp;"  "&amp;Criterios!B10 &amp; "  " &amp; IF(NOT(ISBLANK(Criterios!A11)),Criterios!A11 &amp;"  "&amp;Criterios!B11,"")</f>
        <v>Provincias  A CORUÑA  Resumenes por Partidos Judiciales  BETANZOS</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0.33457943925233646</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0.23658339034091966</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24 sep. 2024</v>
      </c>
    </row>
    <row r="32" spans="1:78">
      <c r="C32" s="774"/>
      <c r="D32" s="774"/>
    </row>
  </sheetData>
  <sheetProtection algorithmName="SHA-512" hashValue="5SNgM0ZyBr/rrSmbq2h+zEyYt/VrxbYsgdVEwslE55fxJNA0OVV9tC3RaHdL69rg3sf0K6/GQ4sl8sIDKjkIqg==" saltValue="AgUYBFpDRHSgO8/HDHLHBg=="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uYyRG6uuzlduiu/8vIfRPHdV2Dhqn+FDEWgKsZG5r/zJoIMJo5CEULA6OmP+vrVH8EtThYnb5k3T6CNlFHq/tA==" saltValue="mwen6zzp4WTo5pIDT66QvQ=="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GALICIA</v>
      </c>
      <c r="C2" s="375"/>
      <c r="D2" s="375"/>
      <c r="E2" s="375"/>
      <c r="F2" s="375"/>
    </row>
    <row r="3" spans="1:69" ht="19.5">
      <c r="A3" s="390" t="s">
        <v>115</v>
      </c>
      <c r="B3" s="391" t="str">
        <f>Criterios!A10 &amp;"  "&amp;Criterios!B10</f>
        <v>Provincias  A CORUÑA</v>
      </c>
      <c r="D3" s="375"/>
      <c r="E3" s="375"/>
      <c r="F3" s="375"/>
      <c r="BQ3" s="471"/>
    </row>
    <row r="4" spans="1:69" ht="13.5" thickBot="1">
      <c r="A4" s="375"/>
      <c r="B4" s="391" t="str">
        <f>Criterios!A11 &amp;"  "&amp;Criterios!B11</f>
        <v>Resumenes por Partidos Judiciales  BETANZOS</v>
      </c>
      <c r="C4" s="375"/>
      <c r="D4" s="375"/>
      <c r="E4" s="375"/>
      <c r="F4" s="375"/>
      <c r="BQ4" s="471"/>
    </row>
    <row r="5" spans="1:69" ht="15.75" customHeight="1">
      <c r="A5" s="1198" t="str">
        <f>"Año:  " &amp;Criterios!B5 &amp; "     Trimestre   " &amp;Criterios!D5 &amp; " al " &amp;Criterios!D6</f>
        <v>Año:  2024     Trimestre   2 al 2</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10</v>
      </c>
      <c r="D10" s="404">
        <f>IF(ISNUMBER(C10/Datos!BH10),C10/Datos!BH10," - ")</f>
        <v>10</v>
      </c>
      <c r="E10" s="403">
        <f>IF(ISNUMBER(Datos!J10),Datos!J10," - ")</f>
        <v>12</v>
      </c>
      <c r="F10" s="404">
        <f>IF(ISNUMBER(E10/B10),E10/B10," - ")</f>
        <v>12</v>
      </c>
      <c r="G10" s="403">
        <f>IF(ISNUMBER(Datos!K10),Datos!K10," - ")</f>
        <v>9</v>
      </c>
      <c r="H10" s="404">
        <f>IF(ISNUMBER(G10/B10),G10/B10," - ")</f>
        <v>9</v>
      </c>
      <c r="I10" s="403">
        <f>IF(ISNUMBER(Datos!L10),Datos!L10," - ")</f>
        <v>13</v>
      </c>
      <c r="J10" s="404">
        <f>IF(ISNUMBER(I10/B10),I10/B10," - ")</f>
        <v>13</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4</v>
      </c>
      <c r="C12" s="403">
        <f>IF(ISNUMBER(IF(J_V="SI",Datos!I12,Datos!I12+Datos!Y12)),IF(J_V="SI",Datos!I12,Datos!I12+Datos!Y12)," - ")</f>
        <v>3163</v>
      </c>
      <c r="D12" s="404">
        <f>IF(ISNUMBER(C12/Datos!BH12),C12/Datos!BH12," - ")</f>
        <v>790.75</v>
      </c>
      <c r="E12" s="403">
        <f>IF(ISNUMBER(IF(J_V="SI",Datos!J12,Datos!J12+Datos!Z12)),IF(J_V="SI",Datos!J12,Datos!J12+Datos!Z12)," - ")</f>
        <v>1359</v>
      </c>
      <c r="F12" s="404">
        <f>IF(ISNUMBER(E12/B12),E12/B12," - ")</f>
        <v>339.75</v>
      </c>
      <c r="G12" s="403">
        <f>IF(ISNUMBER(IF(J_V="SI",Datos!K12,Datos!K12+Datos!AA12)),IF(J_V="SI",Datos!K12,Datos!K12+Datos!AA12)," - ")</f>
        <v>1061</v>
      </c>
      <c r="H12" s="404">
        <f>IF(ISNUMBER(G12/B12),G12/B12," - ")</f>
        <v>265.25</v>
      </c>
      <c r="I12" s="403">
        <f>IF(ISNUMBER(IF(J_V="SI",Datos!L12,Datos!L12+Datos!AB12)),IF(J_V="SI",Datos!L12,Datos!L12+Datos!AB12)," - ")</f>
        <v>3461</v>
      </c>
      <c r="J12" s="404">
        <f>IF(ISNUMBER(I12/B12),I12/B12," - ")</f>
        <v>865.25</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4</v>
      </c>
      <c r="C13" s="849">
        <f>SUBTOTAL(9,C8:C12)</f>
        <v>3173</v>
      </c>
      <c r="D13" s="850" t="str">
        <f>IF(ISNUMBER(C13/Datos!BI13),C13/Datos!BI13," - ")</f>
        <v xml:space="preserve"> - </v>
      </c>
      <c r="E13" s="849">
        <f>SUBTOTAL(9,E8:E12)</f>
        <v>1371</v>
      </c>
      <c r="F13" s="850">
        <f>IF(ISNUMBER(E13/B13),E13/B13," - ")</f>
        <v>342.75</v>
      </c>
      <c r="G13" s="849">
        <f>SUBTOTAL(9,G8:G12)</f>
        <v>1070</v>
      </c>
      <c r="H13" s="850">
        <f>IF(ISNUMBER(G13/B13),G13/B13," - ")</f>
        <v>267.5</v>
      </c>
      <c r="I13" s="849">
        <f>SUBTOTAL(9,I8:I12)</f>
        <v>3474</v>
      </c>
      <c r="J13" s="850">
        <f>IF(ISNUMBER(I13/B13),I13/B13," - ")</f>
        <v>868.5</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4</v>
      </c>
      <c r="C16" s="403">
        <f>IF(ISNUMBER(IF(D_I="SI",Datos!I16,Datos!I16+Datos!AC16)),IF(D_I="SI",Datos!I16,Datos!I16+Datos!AC16)," - ")</f>
        <v>1072</v>
      </c>
      <c r="D16" s="404">
        <f>IF(ISNUMBER(C16/Datos!BH16),C16/Datos!BH16," - ")</f>
        <v>268</v>
      </c>
      <c r="E16" s="403">
        <f>IF(ISNUMBER(IF(D_I="SI",Datos!J16,Datos!J16+Datos!AD16)),IF(D_I="SI",Datos!J16,Datos!J16+Datos!AD16)," - ")</f>
        <v>834</v>
      </c>
      <c r="F16" s="404">
        <f>IF(ISNUMBER(E16/B16),E16/B16," - ")</f>
        <v>208.5</v>
      </c>
      <c r="G16" s="403">
        <f>IF(ISNUMBER(IF(D_I="SI",Datos!K16,Datos!K16+Datos!AE16)),IF(D_I="SI",Datos!K16,Datos!K16+Datos!AE16)," - ")</f>
        <v>801</v>
      </c>
      <c r="H16" s="404">
        <f>IF(ISNUMBER(G16/B16),G16/B16," - ")</f>
        <v>200.25</v>
      </c>
      <c r="I16" s="403">
        <f>IF(ISNUMBER(IF(D_I="SI",Datos!L16,Datos!L16+Datos!AF16)),IF(D_I="SI",Datos!L16,Datos!L16+Datos!AF16)," - ")</f>
        <v>1109</v>
      </c>
      <c r="J16" s="404">
        <f>IF(ISNUMBER(I16/B16),I16/B16," - ")</f>
        <v>277.25</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59</v>
      </c>
      <c r="D17" s="404">
        <f>IF(ISNUMBER(C17/Datos!BH17),C17/Datos!BH17," - ")</f>
        <v>59</v>
      </c>
      <c r="E17" s="403">
        <f>IF(ISNUMBER(IF(D_I="SI",Datos!J17,Datos!J17+Datos!AD17)),IF(D_I="SI",Datos!J17,Datos!J17+Datos!AD17)," - ")</f>
        <v>74</v>
      </c>
      <c r="F17" s="404">
        <f>IF(ISNUMBER(E17/B17),E17/B17," - ")</f>
        <v>74</v>
      </c>
      <c r="G17" s="403">
        <f>IF(ISNUMBER(IF(D_I="SI",Datos!K17,Datos!K17+Datos!AE17)),IF(D_I="SI",Datos!K17,Datos!K17+Datos!AE17)," - ")</f>
        <v>103</v>
      </c>
      <c r="H17" s="404">
        <f>IF(ISNUMBER(G17/B17),G17/B17," - ")</f>
        <v>103</v>
      </c>
      <c r="I17" s="403">
        <f>IF(ISNUMBER(IF(D_I="SI",Datos!L17,Datos!L17+Datos!AF17)),IF(D_I="SI",Datos!L17,Datos!L17+Datos!AF17)," - ")</f>
        <v>30</v>
      </c>
      <c r="J17" s="404">
        <f>IF(ISNUMBER(I17/B17),I17/B17," - ")</f>
        <v>30</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4</v>
      </c>
      <c r="C18" s="849">
        <f>SUBTOTAL(9,C14:C17)</f>
        <v>1131</v>
      </c>
      <c r="D18" s="850" t="str">
        <f>IF(ISNUMBER(C18/Datos!BI18),C18/Datos!BI18," - ")</f>
        <v xml:space="preserve"> - </v>
      </c>
      <c r="E18" s="849">
        <f>SUBTOTAL(9,E14:E17)</f>
        <v>908</v>
      </c>
      <c r="F18" s="850">
        <f>IF(ISNUMBER(E18/B18),E18/B18," - ")</f>
        <v>227</v>
      </c>
      <c r="G18" s="849">
        <f>SUBTOTAL(9,G14:G17)</f>
        <v>904</v>
      </c>
      <c r="H18" s="850">
        <f>IF(ISNUMBER(G18/B18),G18/B18," - ")</f>
        <v>226</v>
      </c>
      <c r="I18" s="849">
        <f>SUBTOTAL(9,I14:I17)</f>
        <v>1139</v>
      </c>
      <c r="J18" s="850">
        <f>IF(ISNUMBER(I18/B18),I18/B18," - ")</f>
        <v>284.75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4</v>
      </c>
      <c r="C19" s="794">
        <f>SUBTOTAL(9,C9:C18)</f>
        <v>4304</v>
      </c>
      <c r="D19" s="795" t="str">
        <f>IF(ISNUMBER(C19/Datos!BI19),C19/Datos!BI19," - ")</f>
        <v xml:space="preserve"> - </v>
      </c>
      <c r="E19" s="794">
        <f>SUBTOTAL(9,E9:E18)</f>
        <v>2279</v>
      </c>
      <c r="F19" s="795">
        <f>IF(ISNUMBER(E19/B19),E19/B19," - ")</f>
        <v>569.75</v>
      </c>
      <c r="G19" s="794">
        <f>SUBTOTAL(9,G9:G18)</f>
        <v>1974</v>
      </c>
      <c r="H19" s="795">
        <f>IF(ISNUMBER(G19/B19),G19/B19," - ")</f>
        <v>493.5</v>
      </c>
      <c r="I19" s="794">
        <f>SUBTOTAL(9,I9:I18)</f>
        <v>4613</v>
      </c>
      <c r="J19" s="795">
        <f>IF(ISNUMBER(I19/B19),I19/B19," - ")</f>
        <v>1153.25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24 sep. 2024</v>
      </c>
    </row>
    <row r="27" spans="1:69">
      <c r="A27" s="414"/>
    </row>
  </sheetData>
  <sheetProtection algorithmName="SHA-512" hashValue="+b5SJMD3nmtW/ukq+AFF5utj+3potsf/VjKI5VLfOzQ0gtCf1eTnlq6N2rClGRKq14Vml/kNSZz7FPllD7rQlg==" saltValue="v1RKXY8rDzG6fk3zI5rCoQ=="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GALICIA</v>
      </c>
      <c r="W1"/>
      <c r="X1"/>
    </row>
    <row r="2" spans="1:78" ht="16.5" customHeight="1">
      <c r="C2" s="488" t="str">
        <f>Criterios!A10 &amp;"  "&amp;Criterios!B10 &amp; "  " &amp; IF(NOT(ISBLANK(Criterios!A11)),Criterios!A11 &amp;"  "&amp;Criterios!B11,"")</f>
        <v>Provincias  A CORUÑA  Resumenes por Partidos Judiciales  BETANZOS</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2 al 2</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10</v>
      </c>
      <c r="G10" s="684">
        <f>IF(ISNUMBER(Datos!I10),Datos!I10," - ")</f>
        <v>10</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3</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9</v>
      </c>
      <c r="AC10" s="683" t="str">
        <f>IF(ISNUMBER(IF(D_I="SI",DatosP!K17,DatosP!K17+DatosP!AE17)),IF(D_I="SI",DatosP!K17,DatosP!K17+DatosP!AE17)," - ")</f>
        <v xml:space="preserve"> - </v>
      </c>
      <c r="AD10" s="685"/>
      <c r="AE10" s="685"/>
      <c r="AF10" s="688">
        <f>IF(ISNUMBER(Datos!L10),Datos!L10,"-")</f>
        <v>13</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7</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4.3333333333333339</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4</v>
      </c>
      <c r="B12" s="507" t="s">
        <v>246</v>
      </c>
      <c r="C12" s="7" t="str">
        <f>Datos!A12</f>
        <v xml:space="preserve">Jdos. 1ª Instª. e Instr.                        </v>
      </c>
      <c r="D12" s="508"/>
      <c r="E12" s="682">
        <f>IF(ISNUMBER(Datos!AQ12),Datos!AQ12," - ")</f>
        <v>4</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339</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134</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3819</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351</v>
      </c>
      <c r="AM12" s="690">
        <f>IF(ISNUMBER(Datos!N12+DatosP!N16),Datos!N12+DatosP!N16," - ")</f>
        <v>464</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9.7860508953817149</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5.6723851687880467E-2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4</v>
      </c>
      <c r="F13" s="938">
        <f t="shared" si="0"/>
        <v>10</v>
      </c>
      <c r="G13" s="938">
        <f t="shared" si="0"/>
        <v>10</v>
      </c>
      <c r="H13" s="938">
        <f t="shared" si="0"/>
        <v>0</v>
      </c>
      <c r="I13" s="940">
        <f t="shared" si="0"/>
        <v>0</v>
      </c>
      <c r="J13" s="939">
        <f t="shared" si="0"/>
        <v>0</v>
      </c>
      <c r="K13" s="939">
        <f t="shared" si="0"/>
        <v>0</v>
      </c>
      <c r="L13" s="941">
        <f t="shared" si="0"/>
        <v>0</v>
      </c>
      <c r="M13" s="941">
        <f t="shared" si="0"/>
        <v>0</v>
      </c>
      <c r="N13" s="939">
        <f t="shared" si="0"/>
        <v>342</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9</v>
      </c>
      <c r="AC13" s="939">
        <f t="shared" si="1"/>
        <v>0</v>
      </c>
      <c r="AD13" s="939">
        <f t="shared" si="1"/>
        <v>134</v>
      </c>
      <c r="AE13" s="939">
        <f t="shared" si="1"/>
        <v>0</v>
      </c>
      <c r="AF13" s="939">
        <f t="shared" si="1"/>
        <v>13</v>
      </c>
      <c r="AG13" s="939">
        <f t="shared" si="1"/>
        <v>0</v>
      </c>
      <c r="AH13" s="939">
        <f t="shared" si="1"/>
        <v>3819</v>
      </c>
      <c r="AI13" s="939">
        <f t="shared" si="1"/>
        <v>0</v>
      </c>
      <c r="AJ13" s="939">
        <f t="shared" si="1"/>
        <v>0</v>
      </c>
      <c r="AK13" s="939">
        <f t="shared" si="1"/>
        <v>0</v>
      </c>
      <c r="AL13" s="939">
        <f t="shared" si="1"/>
        <v>358</v>
      </c>
      <c r="AM13" s="939">
        <f t="shared" si="1"/>
        <v>464</v>
      </c>
      <c r="AN13" s="939">
        <f t="shared" si="1"/>
        <v>0</v>
      </c>
      <c r="AO13" s="939">
        <f t="shared" si="1"/>
        <v>0</v>
      </c>
      <c r="AP13" s="944">
        <f>IF(ISNUMBER(((Datos!L13/Datos!K13)*11)/factor_trimestre),((Datos!L13/Datos!K13)*11)/factor_trimestre," - ")</f>
        <v>10.211122554067972</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-0.9</v>
      </c>
      <c r="AU13" s="939" t="str">
        <f>IF(ISNUMBER((DatosP!#REF!-DatosP!#REF!+DatosP!#REF!)/(DatosP!#REF!+DatosP!#REF!-DatosP!#REF!-DatosP!#REF!)),(DatosP!#REF!-DatosP!#REF!+DatosP!#REF!)/(DatosP!#REF!+DatosP!#REF!-DatosP!#REF!-DatosP!#REF!)," - ")</f>
        <v xml:space="preserve"> - </v>
      </c>
      <c r="AV13" s="945">
        <f>SUBTOTAL(9,AV9:AV12)</f>
        <v>5.6723851687880467E-2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4</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3.7798672566371683</v>
      </c>
      <c r="AQ18" s="944">
        <f>IF(ISNUMBER(((Datos!M18/Datos!L18)*11)/factor_trimestre),((Datos!M18/Datos!L18)*11)/factor_trimestre," - ")</f>
        <v>0.31079894644424938</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0.10091743119266056</v>
      </c>
      <c r="AW18" s="946">
        <f>IF(ISNUMBER((Datos!Q18-Datos!R18)/(Datos!S18-Datos!Q18+Datos!R18)),(Datos!Q18-Datos!R18)/(Datos!S18-Datos!Q18+Datos!R18)," - ")</f>
        <v>-9.8814229249011856E-2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4</v>
      </c>
      <c r="F19" s="951">
        <f t="shared" si="4"/>
        <v>10</v>
      </c>
      <c r="G19" s="951">
        <f t="shared" si="4"/>
        <v>10</v>
      </c>
      <c r="H19" s="951">
        <f t="shared" si="4"/>
        <v>0</v>
      </c>
      <c r="I19" s="952">
        <f t="shared" si="4"/>
        <v>0</v>
      </c>
      <c r="J19" s="953">
        <f t="shared" si="4"/>
        <v>0</v>
      </c>
      <c r="K19" s="953">
        <f t="shared" si="4"/>
        <v>0</v>
      </c>
      <c r="L19" s="953">
        <f t="shared" si="4"/>
        <v>0</v>
      </c>
      <c r="M19" s="953">
        <f t="shared" si="4"/>
        <v>0</v>
      </c>
      <c r="N19" s="952">
        <f t="shared" si="4"/>
        <v>342</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9</v>
      </c>
      <c r="AC19" s="957">
        <f t="shared" si="5"/>
        <v>0</v>
      </c>
      <c r="AD19" s="957">
        <f t="shared" si="5"/>
        <v>134</v>
      </c>
      <c r="AE19" s="957">
        <f t="shared" si="5"/>
        <v>0</v>
      </c>
      <c r="AF19" s="958">
        <f t="shared" si="5"/>
        <v>13</v>
      </c>
      <c r="AG19" s="958">
        <f t="shared" si="5"/>
        <v>0</v>
      </c>
      <c r="AH19" s="958">
        <f t="shared" si="5"/>
        <v>3819</v>
      </c>
      <c r="AI19" s="958">
        <f t="shared" si="5"/>
        <v>0</v>
      </c>
      <c r="AJ19" s="959">
        <f t="shared" si="5"/>
        <v>0</v>
      </c>
      <c r="AK19" s="959">
        <f t="shared" si="5"/>
        <v>0</v>
      </c>
      <c r="AL19" s="951">
        <f t="shared" si="5"/>
        <v>358</v>
      </c>
      <c r="AM19" s="951">
        <f t="shared" si="5"/>
        <v>464</v>
      </c>
      <c r="AN19" s="951">
        <f t="shared" si="5"/>
        <v>0</v>
      </c>
      <c r="AO19" s="951">
        <f t="shared" si="5"/>
        <v>0</v>
      </c>
      <c r="AP19" s="951">
        <f>IF(ISNUMBER(((Datos!L19/Datos!K19)*11)/factor_trimestre),((Datos!L19/Datos!K19)*11)/factor_trimestre," - ")</f>
        <v>7.1104000000000003</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-0.9</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5.8681672025723476E-2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6.666666666666667</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2.0655911179772892</v>
      </c>
      <c r="F21" s="736">
        <f>IF(ISNUMBER(STDEV(F8:F18)),STDEV(F8:F18),"-")</f>
        <v>5.7735026918962573</v>
      </c>
      <c r="G21" s="737">
        <f>IF(ISNUMBER(STDEV(G8:G18)),STDEV(G8:G18),"-")</f>
        <v>5.7735026918962573</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5.196152422706632</v>
      </c>
      <c r="AC21" s="738">
        <f>IF(ISNUMBER(STDEV(AC8:AC18)),STDEV(AC8:AC18),"-")</f>
        <v>0</v>
      </c>
      <c r="AD21" s="741"/>
      <c r="AE21" s="741"/>
      <c r="AF21" s="741"/>
      <c r="AG21" s="741"/>
      <c r="AH21" s="741"/>
      <c r="AI21" s="741"/>
      <c r="AJ21" s="742">
        <f>IF(ISNUMBER(STDEV(AJ8:AJ18)),STDEV(AJ8:AJ18),"-")</f>
        <v>0</v>
      </c>
      <c r="AK21" s="744"/>
      <c r="AL21" s="736">
        <f>IF(ISNUMBER(STDEV(AL8:AL18)),STDEV(AL8:AL18),"-")</f>
        <v>202.69023985711135</v>
      </c>
      <c r="AM21" s="736"/>
      <c r="AN21" s="736">
        <f>IF(ISNUMBER(STDEV(AN8:AN18)),STDEV(AN8:AN18),"-")</f>
        <v>0</v>
      </c>
      <c r="AO21" s="742">
        <f>IF(ISNUMBER(STDEV(AO8:AO18)),STDEV(AO8:AO18),"-")</f>
        <v>0</v>
      </c>
      <c r="AP21" s="779">
        <f>IF(ISNUMBER(STDEV(AP8:AP18)),STDEV(AP8:AP18),"-")</f>
        <v>3.442417175849231</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24 sep. 2024</v>
      </c>
      <c r="W30"/>
      <c r="X30"/>
    </row>
    <row r="32" spans="1:78">
      <c r="C32" s="774"/>
      <c r="D32" s="774"/>
      <c r="W32"/>
      <c r="X32"/>
    </row>
  </sheetData>
  <sheetProtection algorithmName="SHA-512" hashValue="PG59eFZKzq4AlmOmY1yvUnLt5up23HNydO1T5aRytBK0wRDdAWPQfXvQHxGWSUpNrDs6LCXKG7IqEcZ6drm5Wg==" saltValue="m14i9Th+BvYazMo1/cU1pQ=="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GALICIA</v>
      </c>
      <c r="C2" s="375"/>
      <c r="E2" s="375"/>
      <c r="F2" s="375"/>
      <c r="G2" s="375"/>
      <c r="H2" s="375"/>
    </row>
    <row r="3" spans="1:15" ht="39">
      <c r="A3" s="415" t="s">
        <v>218</v>
      </c>
      <c r="B3" s="391" t="str">
        <f>Criterios!A10 &amp;"  "&amp;Criterios!B10</f>
        <v>Provincias  A CORUÑA</v>
      </c>
      <c r="C3" s="415"/>
      <c r="F3" s="375"/>
      <c r="G3" s="375"/>
      <c r="H3" s="375"/>
    </row>
    <row r="4" spans="1:15" ht="13.5" thickBot="1">
      <c r="A4" s="375"/>
      <c r="B4" s="391" t="str">
        <f>Criterios!A11 &amp;"  "&amp;Criterios!B11</f>
        <v>Resumenes por Partidos Judiciales  BETANZOS</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4</v>
      </c>
      <c r="D12" s="403">
        <f>Datos!BK12</f>
        <v>0</v>
      </c>
      <c r="E12" s="403">
        <f>Datos!AQ12</f>
        <v>4</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4</v>
      </c>
      <c r="D16" s="403">
        <f>Datos!BK16</f>
        <v>0</v>
      </c>
      <c r="E16" s="403">
        <f>Datos!AQ16</f>
        <v>4</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24 sep. 2024</v>
      </c>
      <c r="B23" s="391"/>
      <c r="C23" s="391"/>
    </row>
    <row r="27" spans="1:13">
      <c r="A27" s="414"/>
      <c r="B27" s="414"/>
      <c r="C27" s="414"/>
    </row>
  </sheetData>
  <sheetProtection algorithmName="SHA-512" hashValue="rDXeyWVdErKQRsVxpNrclcQSQEtw5oTR4WlGc86tqgvL87NtZRILD6wF5neSMHtOVHcxiJ8K7BgkKWznFmhadQ==" saltValue="vBJlGs2AoLsusP2zaUmWlw=="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GALICIA</v>
      </c>
      <c r="C2" s="391"/>
    </row>
    <row r="3" spans="1:78" ht="19.5">
      <c r="A3" s="425" t="s">
        <v>11</v>
      </c>
      <c r="B3" s="391" t="str">
        <f>Criterios!A10 &amp;"  "&amp;Criterios!B10</f>
        <v>Provincias  A CORUÑA</v>
      </c>
      <c r="C3" s="391"/>
      <c r="D3" s="425"/>
      <c r="BZ3" s="471"/>
    </row>
    <row r="4" spans="1:78" ht="13.5" thickBot="1">
      <c r="B4" s="391" t="str">
        <f>Criterios!A11 &amp;"  "&amp;Criterios!B11</f>
        <v>Resumenes por Partidos Judiciales  BETANZOS</v>
      </c>
      <c r="BZ4" s="471"/>
    </row>
    <row r="5" spans="1:78" ht="15.75" customHeight="1">
      <c r="A5" s="1210" t="str">
        <f>"Año:  " &amp;Criterios!B5 &amp; "                  Trimestre   " &amp;Criterios!D5 &amp; " al " &amp;Criterios!D6</f>
        <v>Año:  2024                  Trimestre   2 al 2</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7</v>
      </c>
      <c r="E10" s="404">
        <f>IF(ISNUMBER(D10/B10),D10/B10," - ")</f>
        <v>7</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4</v>
      </c>
      <c r="C12" s="410">
        <f>Datos!AQ12</f>
        <v>4</v>
      </c>
      <c r="D12" s="403">
        <f>IF(ISNUMBER(Datos!M12),Datos!M12," - ")</f>
        <v>351</v>
      </c>
      <c r="E12" s="404">
        <f t="shared" si="0"/>
        <v>87.75</v>
      </c>
      <c r="F12" s="403">
        <f>IF(ISNUMBER(Datos!N12),Datos!N12," - ")</f>
        <v>464</v>
      </c>
      <c r="G12" s="404">
        <f t="shared" si="1"/>
        <v>116</v>
      </c>
      <c r="H12" s="403">
        <f>IF(ISNUMBER(Datos!O12),Datos!O12," - ")</f>
        <v>379</v>
      </c>
      <c r="I12" s="404">
        <f t="shared" si="2"/>
        <v>94.75</v>
      </c>
      <c r="BZ12" s="1186">
        <f>Datos!EZ12</f>
        <v>0</v>
      </c>
    </row>
    <row r="13" spans="1:78" ht="14.25" thickTop="1" thickBot="1">
      <c r="A13" s="848" t="str">
        <f>Datos!A13</f>
        <v>TOTAL</v>
      </c>
      <c r="B13" s="849">
        <f>Datos!AP13</f>
        <v>4</v>
      </c>
      <c r="C13" s="851">
        <f>Datos!AR13</f>
        <v>4</v>
      </c>
      <c r="D13" s="849">
        <f>SUBTOTAL(9,D9:D12)</f>
        <v>358</v>
      </c>
      <c r="E13" s="850">
        <f t="shared" si="0"/>
        <v>89.5</v>
      </c>
      <c r="F13" s="849">
        <f>SUBTOTAL(9,F9:F12)</f>
        <v>464</v>
      </c>
      <c r="G13" s="850">
        <f t="shared" si="1"/>
        <v>116</v>
      </c>
      <c r="H13" s="849">
        <f>SUBTOTAL(9,H9:H12)</f>
        <v>379</v>
      </c>
      <c r="I13" s="850">
        <f>IF(ISNUMBER(H13/B13),H13/B13," - ")</f>
        <v>94.75</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4</v>
      </c>
      <c r="C16" s="428">
        <f>Datos!AQ16</f>
        <v>4</v>
      </c>
      <c r="D16" s="403">
        <f>IF(ISNUMBER(Datos!M16),Datos!M16," - ")</f>
        <v>103</v>
      </c>
      <c r="E16" s="404">
        <f t="shared" si="3"/>
        <v>25.75</v>
      </c>
      <c r="F16" s="403">
        <f>IF(ISNUMBER(Datos!N16),Datos!N16," - ")</f>
        <v>453</v>
      </c>
      <c r="G16" s="404">
        <f t="shared" si="4"/>
        <v>113.25</v>
      </c>
      <c r="H16" s="403">
        <f>IF(ISNUMBER(Datos!O16),Datos!O16," - ")</f>
        <v>0</v>
      </c>
      <c r="I16" s="404">
        <f t="shared" si="5"/>
        <v>0</v>
      </c>
      <c r="BZ16" s="1186">
        <f>Datos!EZ16</f>
        <v>0</v>
      </c>
    </row>
    <row r="17" spans="1:78" ht="13.5" thickBot="1">
      <c r="A17" s="402" t="str">
        <f>Datos!A17</f>
        <v>Jdos. Violencia contra la mujer</v>
      </c>
      <c r="B17" s="427">
        <f>Datos!AO17</f>
        <v>1</v>
      </c>
      <c r="C17" s="428">
        <f>Datos!AQ17</f>
        <v>0</v>
      </c>
      <c r="D17" s="403">
        <f>IF(ISNUMBER(Datos!M17),Datos!M17," - ")</f>
        <v>15</v>
      </c>
      <c r="E17" s="404">
        <f>IF(ISNUMBER(D17/B17),D17/B17," - ")</f>
        <v>15</v>
      </c>
      <c r="F17" s="403">
        <f>IF(ISNUMBER(Datos!N17),Datos!N17," - ")</f>
        <v>46</v>
      </c>
      <c r="G17" s="404">
        <f>IF(ISNUMBER(F17/B17),F17/B17," - ")</f>
        <v>46</v>
      </c>
      <c r="H17" s="403">
        <f>IF(ISNUMBER(Datos!O17),Datos!O17," - ")</f>
        <v>0</v>
      </c>
      <c r="I17" s="404">
        <f t="shared" si="5"/>
        <v>0</v>
      </c>
      <c r="BZ17" s="1186">
        <f>Datos!EZ17</f>
        <v>0</v>
      </c>
    </row>
    <row r="18" spans="1:78" ht="14.25" thickTop="1" thickBot="1">
      <c r="A18" s="848" t="str">
        <f>Datos!A18</f>
        <v>TOTAL</v>
      </c>
      <c r="B18" s="849">
        <f>Datos!AP18</f>
        <v>4</v>
      </c>
      <c r="C18" s="851">
        <f>Datos!AR18</f>
        <v>4</v>
      </c>
      <c r="D18" s="849">
        <f>SUBTOTAL(9,D15:D17)</f>
        <v>118</v>
      </c>
      <c r="E18" s="850">
        <f t="shared" si="3"/>
        <v>29.5</v>
      </c>
      <c r="F18" s="849">
        <f>SUBTOTAL(9,F15:F17)</f>
        <v>499</v>
      </c>
      <c r="G18" s="850">
        <f t="shared" si="4"/>
        <v>124.75</v>
      </c>
      <c r="H18" s="849">
        <f>SUBTOTAL(9,H15:H17)</f>
        <v>0</v>
      </c>
      <c r="I18" s="850">
        <f>IF(ISNUMBER(H18/B18),H18/B18," - ")</f>
        <v>0</v>
      </c>
      <c r="BZ18" s="1186"/>
    </row>
    <row r="19" spans="1:78" ht="14.25" thickTop="1" thickBot="1">
      <c r="A19" s="793" t="str">
        <f>Datos!A19</f>
        <v>TOTAL JURISDICCIONES</v>
      </c>
      <c r="B19" s="794">
        <f>Datos!AP19</f>
        <v>4</v>
      </c>
      <c r="C19" s="794">
        <f>Datos!AR19</f>
        <v>4</v>
      </c>
      <c r="D19" s="794">
        <f>SUBTOTAL(9,D8:D18)</f>
        <v>476</v>
      </c>
      <c r="E19" s="795">
        <f>IF(ISNUMBER(D19/B19),D19/B19," - ")</f>
        <v>119</v>
      </c>
      <c r="F19" s="794">
        <f>SUBTOTAL(9,F8:F18)</f>
        <v>963</v>
      </c>
      <c r="G19" s="795">
        <f>IF(ISNUMBER(F19/B19),F19/B19," - ")</f>
        <v>240.75</v>
      </c>
      <c r="H19" s="794">
        <f>SUBTOTAL(9,H8:H18)</f>
        <v>379</v>
      </c>
      <c r="I19" s="795">
        <f>IF(ISNUMBER(H19/B19),H19/B19," - ")</f>
        <v>94.75</v>
      </c>
    </row>
    <row r="22" spans="1:78">
      <c r="A22" s="391" t="str">
        <f>Criterios!A4</f>
        <v>Fecha Informe: 24 sep. 2024</v>
      </c>
    </row>
    <row r="27" spans="1:78">
      <c r="A27" s="414"/>
    </row>
  </sheetData>
  <sheetProtection algorithmName="SHA-512" hashValue="Y2ujYAaMGiGhexQcsqo/iQ8y1mbf3QA+yAGVg/54vuwikR2FGiBKthU8/FMqCP964Sa6yLfRYdweBLclE/niLg==" saltValue="NfgDV+BM+LLrvimIq10pxw=="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GALICIA</v>
      </c>
    </row>
    <row r="3" spans="1:4" ht="19.5">
      <c r="A3" s="429" t="s">
        <v>32</v>
      </c>
      <c r="B3" s="391" t="str">
        <f>Criterios!A10 &amp;"  "&amp;Criterios!B10</f>
        <v>Provincias  A CORUÑA</v>
      </c>
    </row>
    <row r="4" spans="1:4" ht="13.5" thickBot="1">
      <c r="B4" s="391" t="str">
        <f>Criterios!A11 &amp;"  "&amp;Criterios!B11</f>
        <v>Resumenes por Partidos Judiciales  BETANZOS</v>
      </c>
    </row>
    <row r="5" spans="1:4" ht="12.75" customHeight="1">
      <c r="A5" s="1210" t="str">
        <f>"Año:  " &amp;Criterios!B5 &amp; "                  Trimestre   " &amp;Criterios!D5 &amp; " al " &amp;Criterios!D6</f>
        <v>Año:  2024                  Trimestre   2 al 2</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3</v>
      </c>
      <c r="C10" s="434">
        <f>IF(ISNUMBER(Datos!Q10),Datos!Q10," - ")</f>
        <v>0</v>
      </c>
      <c r="D10" s="408">
        <f>IF(ISNUMBER(Datos!R10),Datos!R10," - ")</f>
        <v>12</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339</v>
      </c>
      <c r="C12" s="434">
        <f>IF(ISNUMBER(Datos!Q12),Datos!Q12," - ")</f>
        <v>134</v>
      </c>
      <c r="D12" s="408">
        <f>IF(ISNUMBER(Datos!R12),Datos!R12," - ")</f>
        <v>3819</v>
      </c>
    </row>
    <row r="13" spans="1:4" ht="14.25" thickTop="1" thickBot="1">
      <c r="A13" s="848" t="str">
        <f>Datos!A13</f>
        <v>TOTAL</v>
      </c>
      <c r="B13" s="849">
        <f>SUBTOTAL(9,B9:B12)</f>
        <v>342</v>
      </c>
      <c r="C13" s="853">
        <f>SUBTOTAL(9,C9:C12)</f>
        <v>134</v>
      </c>
      <c r="D13" s="851">
        <f>SUBTOTAL(9,D9:D12)</f>
        <v>3831</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29</v>
      </c>
      <c r="C16" s="434">
        <f>IF(ISNUMBER(Datos!Q16),Datos!Q16," - ")</f>
        <v>20</v>
      </c>
      <c r="D16" s="408">
        <f>IF(ISNUMBER(Datos!R16),Datos!R16," - ")</f>
        <v>118</v>
      </c>
    </row>
    <row r="17" spans="1:4" ht="13.5" thickBot="1">
      <c r="A17" s="402" t="str">
        <f>Datos!A17</f>
        <v>Jdos. Violencia contra la mujer</v>
      </c>
      <c r="B17" s="433">
        <f>IF(ISNUMBER(Datos!P17),Datos!P17," - ")</f>
        <v>2</v>
      </c>
      <c r="C17" s="434">
        <f>IF(ISNUMBER(Datos!Q17),Datos!Q17," - ")</f>
        <v>0</v>
      </c>
      <c r="D17" s="408">
        <f>IF(ISNUMBER(Datos!R17),Datos!R17," - ")</f>
        <v>2</v>
      </c>
    </row>
    <row r="18" spans="1:4" ht="14.25" thickTop="1" thickBot="1">
      <c r="A18" s="848" t="str">
        <f>Datos!A18</f>
        <v>TOTAL</v>
      </c>
      <c r="B18" s="849">
        <f>SUBTOTAL(9,B15:B17)</f>
        <v>31</v>
      </c>
      <c r="C18" s="853">
        <f>SUBTOTAL(9,C15:C17)</f>
        <v>20</v>
      </c>
      <c r="D18" s="851">
        <f>SUBTOTAL(9,D15:D17)</f>
        <v>120</v>
      </c>
    </row>
    <row r="19" spans="1:4" ht="16.5" customHeight="1" thickTop="1" thickBot="1">
      <c r="A19" s="793" t="str">
        <f>Datos!A19</f>
        <v>TOTAL JURISDICCIONES</v>
      </c>
      <c r="B19" s="798">
        <f>SUBTOTAL(9,B8:B18)</f>
        <v>373</v>
      </c>
      <c r="C19" s="799">
        <f>SUBTOTAL(9,C8:C18)</f>
        <v>154</v>
      </c>
      <c r="D19" s="800">
        <f>SUBTOTAL(9,D8:D18)</f>
        <v>3951</v>
      </c>
    </row>
    <row r="20" spans="1:4" ht="7.5" customHeight="1"/>
    <row r="21" spans="1:4" ht="6" customHeight="1"/>
    <row r="22" spans="1:4">
      <c r="A22" s="391" t="str">
        <f>Criterios!A4</f>
        <v>Fecha Informe: 24 sep. 2024</v>
      </c>
    </row>
    <row r="27" spans="1:4">
      <c r="A27" s="414"/>
    </row>
  </sheetData>
  <sheetProtection algorithmName="SHA-512" hashValue="LE/JBU0Y/frCkTgUZnPduSPYA+N3h+bdLcCtFNvXdwvSFaSRHorXUIRDWLpxMyOcGUPGr2M7zVC2M5aXSNpNOg==" saltValue="CFOQ9EUBSYwdL+ND2MOESA=="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GALICIA</v>
      </c>
    </row>
    <row r="3" spans="1:11" ht="18.75" customHeight="1">
      <c r="A3" s="429" t="s">
        <v>118</v>
      </c>
      <c r="B3" s="391" t="str">
        <f>Criterios!A10 &amp;"  "&amp;Criterios!B10</f>
        <v>Provincias  A CORUÑA</v>
      </c>
    </row>
    <row r="4" spans="1:11" ht="10.5" customHeight="1" thickBot="1">
      <c r="B4" s="391" t="str">
        <f>Criterios!A11 &amp;"  "&amp;Criterios!B11</f>
        <v>Resumenes por Partidos Judiciales  BETANZOS</v>
      </c>
    </row>
    <row r="5" spans="1:11" ht="12.75" customHeight="1">
      <c r="A5" s="1210" t="str">
        <f>"Año:  " &amp;Criterios!B5 &amp; "    Trimestre   " &amp;Criterios!D5 &amp; " al " &amp;Criterios!D6</f>
        <v>Año:  2024    Trimestre   2 al 2</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-0.2857142857142857</v>
      </c>
      <c r="C10" s="456">
        <f>IF(ISNUMBER((Datos!J10-Datos!T10)/Datos!T10),(Datos!J10-Datos!T10)/Datos!T10," - ")</f>
        <v>0.5</v>
      </c>
      <c r="D10" s="456">
        <f>IF(ISNUMBER((Datos!K10-Datos!U10)/Datos!U10),(Datos!K10-Datos!U10)/Datos!U10," - ")</f>
        <v>0.5</v>
      </c>
      <c r="E10" s="456">
        <f>IF(ISNUMBER((Datos!L10-Datos!V10)/Datos!V10),(Datos!L10-Datos!V10)/Datos!V10," - ")</f>
        <v>-0.1875</v>
      </c>
      <c r="F10" s="456">
        <f>IF(ISNUMBER((Datos!M10-Datos!W10)/Datos!W10),(Datos!M10-Datos!W10)/Datos!W10," - ")</f>
        <v>0.75</v>
      </c>
      <c r="G10" s="457">
        <f>IF(ISNUMBER((Datos!N10-Datos!X10)/Datos!X10),(Datos!N10-Datos!X10)/Datos!X10," - ")</f>
        <v>-1</v>
      </c>
      <c r="H10" s="455">
        <f>IF(ISNUMBER(((NºAsuntos!G10/NºAsuntos!E10)-Datos!BD10)/Datos!BD10),((NºAsuntos!G10/NºAsuntos!E10)-Datos!BD10)/Datos!BD10," - ")</f>
        <v>0</v>
      </c>
      <c r="I10" s="456">
        <f>IF(ISNUMBER(((NºAsuntos!I10/NºAsuntos!G10)-Datos!BE10)/Datos!BE10),((NºAsuntos!I10/NºAsuntos!G10)-Datos!BE10)/Datos!BE10," - ")</f>
        <v>-0.45833333333333331</v>
      </c>
      <c r="J10" s="461">
        <f>IF(ISNUMBER((('Resol  Asuntos'!D10/NºAsuntos!G10)-Datos!BF10)/Datos!BF10),(('Resol  Asuntos'!D10/NºAsuntos!G10)-Datos!BF10)/Datos!BF10," - ")</f>
        <v>0.16666666666666674</v>
      </c>
      <c r="K10" s="462">
        <f>IF(ISNUMBER((((NºAsuntos!C10+NºAsuntos!E10)/NºAsuntos!G10)-Datos!BG10)/Datos!BG10),(((NºAsuntos!C10+NºAsuntos!E10)/NºAsuntos!G10)-Datos!BG10)/Datos!BG10," - ")</f>
        <v>-0.33333333333333326</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0.27591770875352967</v>
      </c>
      <c r="C12" s="456">
        <f>IF(ISNUMBER(
   IF(J_V="SI",(Datos!J12-Datos!T12)/Datos!T12,(Datos!J12+Datos!Z12-(Datos!T12+Datos!AH12))/(Datos!T12+Datos!AH12))
     ),IF(J_V="SI",(Datos!J12-Datos!T12)/Datos!T12,(Datos!J12+Datos!Z12-(Datos!T12+Datos!AH12))/(Datos!T12+Datos!AH12))," - ")</f>
        <v>0.48362445414847161</v>
      </c>
      <c r="D12" s="456">
        <f>IF(ISNUMBER(
   IF(J_V="SI",(Datos!K12-Datos!U12)/Datos!U12,(Datos!K12+Datos!AA12-(Datos!U12+Datos!AI12))/(Datos!U12+Datos!AI12))
     ),IF(J_V="SI",(Datos!K12-Datos!U12)/Datos!U12,(Datos!K12+Datos!AA12-(Datos!U12+Datos!AI12))/(Datos!U12+Datos!AI12))," - ")</f>
        <v>0.32294264339152118</v>
      </c>
      <c r="E12" s="456">
        <f>IF(ISNUMBER(
   IF(J_V="SI",(Datos!L12-Datos!V12)/Datos!V12,(Datos!L12+Datos!AB12-(Datos!V12+Datos!AJ12))/(Datos!V12+Datos!AJ12))
     ),IF(J_V="SI",(Datos!L12-Datos!V12)/Datos!V12,(Datos!L12+Datos!AB12-(Datos!V12+Datos!AJ12))/(Datos!V12+Datos!AJ12))," - ")</f>
        <v>0.33474739683763982</v>
      </c>
      <c r="F12" s="456">
        <f>IF(ISNUMBER((Datos!M12-Datos!W12)/Datos!W12),(Datos!M12-Datos!W12)/Datos!W12," - ")</f>
        <v>0.31954887218045114</v>
      </c>
      <c r="G12" s="457">
        <f>IF(ISNUMBER((Datos!N12-Datos!X12)/Datos!X12),(Datos!N12-Datos!X12)/Datos!X12," - ")</f>
        <v>1.3316582914572865</v>
      </c>
      <c r="H12" s="455">
        <f>IF(ISNUMBER(((NºAsuntos!G12/NºAsuntos!E12)-Datos!BD12)/Datos!BD12),((NºAsuntos!G12/NºAsuntos!E12)-Datos!BD12)/Datos!BD12," - ")</f>
        <v>-0.10830356045133675</v>
      </c>
      <c r="I12" s="456">
        <f>IF(ISNUMBER(((NºAsuntos!I12/NºAsuntos!G12)-Datos!BE12)/Datos!BE12),((NºAsuntos!I12/NºAsuntos!G12)-Datos!BE12)/Datos!BE12," - ")</f>
        <v>8.9231029818918148E-3</v>
      </c>
      <c r="J12" s="461">
        <f>IF(ISNUMBER((('Resol  Asuntos'!D12/NºAsuntos!G12)-Datos!BF12)/Datos!BF12),(('Resol  Asuntos'!D12/NºAsuntos!G12)-Datos!BF12)/Datos!BF12," - ")</f>
        <v>0.3332543963928975</v>
      </c>
      <c r="K12" s="462">
        <f>IF(ISNUMBER((((NºAsuntos!C12+NºAsuntos!E12)/NºAsuntos!G12)-Datos!BG12)/Datos!BG12),(((NºAsuntos!C12+NºAsuntos!E12)/NºAsuntos!G12)-Datos!BG12)/Datos!BG12," - ")</f>
        <v>6.8152005985405344E-3</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0.27276373846770957</v>
      </c>
      <c r="C13" s="855">
        <f>IF(ISNUMBER(
   IF(J_V="SI",(Datos!J13-Datos!T13)/Datos!T13,(Datos!J13+Datos!Z13-(Datos!T13+Datos!AH13))/(Datos!T13+Datos!AH13))
     ),IF(J_V="SI",(Datos!J13-Datos!T13)/Datos!T13,(Datos!J13+Datos!Z13-(Datos!T13+Datos!AH13))/(Datos!T13+Datos!AH13))," - ")</f>
        <v>0.48376623376623379</v>
      </c>
      <c r="D13" s="855">
        <f>IF(ISNUMBER(
   IF(J_V="SI",(Datos!K13-Datos!U13)/Datos!U13,(Datos!K13+Datos!AA13-(Datos!U13+Datos!AI13))/(Datos!U13+Datos!AI13))
     ),IF(J_V="SI",(Datos!K13-Datos!U13)/Datos!U13,(Datos!K13+Datos!AA13-(Datos!U13+Datos!AI13))/(Datos!U13+Datos!AI13))," - ")</f>
        <v>0.32425742574257427</v>
      </c>
      <c r="E13" s="855">
        <f>IF(ISNUMBER(
   IF(J_V="SI",(Datos!L13-Datos!V13)/Datos!V13,(Datos!L13+Datos!AB13-(Datos!V13+Datos!AJ13))/(Datos!V13+Datos!AJ13))
     ),IF(J_V="SI",(Datos!L13-Datos!V13)/Datos!V13,(Datos!L13+Datos!AB13-(Datos!V13+Datos!AJ13))/(Datos!V13+Datos!AJ13))," - ")</f>
        <v>0.33154465312380221</v>
      </c>
      <c r="F13" s="856">
        <f>IF(ISNUMBER((Datos!M13-Datos!W13)/Datos!W13),(Datos!M13-Datos!W13)/Datos!W13," - ")</f>
        <v>0.32592592592592595</v>
      </c>
      <c r="G13" s="857">
        <f>IF(ISNUMBER((Datos!N13-Datos!X13)/Datos!X13),(Datos!N13-Datos!X13)/Datos!X13," - ")</f>
        <v>1.308457711442786</v>
      </c>
      <c r="H13" s="857">
        <f>IF(ISNUMBER(((NºAsuntos!G13/NºAsuntos!E13)-Datos!BD13)/Datos!BD13),((NºAsuntos!G13/NºAsuntos!E13)-Datos!BD13)/Datos!BD13," - ")</f>
        <v>-0.10750265398531102</v>
      </c>
      <c r="I13" s="857">
        <f>IF(ISNUMBER(((NºAsuntos!I13/NºAsuntos!G13)-Datos!BE13)/Datos!BE13),((NºAsuntos!I13/NºAsuntos!G13)-Datos!BE13)/Datos!BE13," - ")</f>
        <v>5.5028782467589866E-3</v>
      </c>
      <c r="J13" s="857">
        <f>IF(ISNUMBER((('Resol  Asuntos'!D13/NºAsuntos!G13)-Datos!BF13)/Datos!BF13),(('Resol  Asuntos'!D13/NºAsuntos!G13)-Datos!BF13)/Datos!BF13," - ")</f>
        <v>0.33172505869895497</v>
      </c>
      <c r="K13" s="857">
        <f>IF(ISNUMBER((((NºAsuntos!C13+NºAsuntos!E13)/NºAsuntos!G13)-Datos!BG13)/Datos!BG13),(((NºAsuntos!C13+NºAsuntos!E13)/NºAsuntos!G13)-Datos!BG13)/Datos!BG13," - ")</f>
        <v>4.201641599588796E-3</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0.22095671981776766</v>
      </c>
      <c r="C16" s="456">
        <f>IF(ISNUMBER(
   IF(D_I="SI",(Datos!J16-Datos!T16)/Datos!T16,(Datos!J16+Datos!AD16-(Datos!T16+Datos!AL16))/(Datos!T16+Datos!AL16))
     ),IF(D_I="SI",(Datos!J16-Datos!T16)/Datos!T16,(Datos!J16+Datos!AD16-(Datos!T16+Datos!AL16))/(Datos!T16+Datos!AL16))," - ")</f>
        <v>0.15994436717663421</v>
      </c>
      <c r="D16" s="456">
        <f>IF(ISNUMBER(
   IF(D_I="SI",(Datos!K16-Datos!U16)/Datos!U16,(Datos!K16+Datos!AE16-(Datos!U16+Datos!AM16))/(Datos!U16+Datos!AM16))
     ),IF(D_I="SI",(Datos!K16-Datos!U16)/Datos!U16,(Datos!K16+Datos!AE16-(Datos!U16+Datos!AM16))/(Datos!U16+Datos!AM16))," - ")</f>
        <v>0.22477064220183487</v>
      </c>
      <c r="E16" s="456">
        <f>IF(ISNUMBER(
   IF(D_I="SI",(Datos!L16-Datos!V16)/Datos!V16,(Datos!L16+Datos!AF16-(Datos!V16+Datos!AN16))/(Datos!V16+Datos!AN16))
     ),IF(D_I="SI",(Datos!L16-Datos!V16)/Datos!V16,(Datos!L16+Datos!AF16-(Datos!V16+Datos!AN16))/(Datos!V16+Datos!AN16))," - ")</f>
        <v>0.176033934252386</v>
      </c>
      <c r="F16" s="456">
        <f>IF(ISNUMBER((Datos!M16-Datos!W16)/Datos!W16),(Datos!M16-Datos!W16)/Datos!W16," - ")</f>
        <v>0.19767441860465115</v>
      </c>
      <c r="G16" s="457">
        <f>IF(ISNUMBER((Datos!N16-Datos!X16)/Datos!X16),(Datos!N16-Datos!X16)/Datos!X16," - ")</f>
        <v>0.15856777493606139</v>
      </c>
      <c r="H16" s="455">
        <f>IF(ISNUMBER(((NºAsuntos!G16/NºAsuntos!E16)-Datos!BD16)/Datos!BD16),((NºAsuntos!G16/NºAsuntos!E16)-Datos!BD16)/Datos!BD16," - ")</f>
        <v>5.5887400171605831E-2</v>
      </c>
      <c r="I16" s="456">
        <f>IF(ISNUMBER(((NºAsuntos!I16/NºAsuntos!G16)-Datos!BE16)/Datos!BE16),((NºAsuntos!I16/NºAsuntos!G16)-Datos!BE16)/Datos!BE16," - ")</f>
        <v>-3.9792518101048086E-2</v>
      </c>
      <c r="J16" s="461">
        <f>IF(ISNUMBER((('Resol  Asuntos'!D16/NºAsuntos!G16)-Datos!BF16)/Datos!BF16),(('Resol  Asuntos'!D16/NºAsuntos!G16)-Datos!BF16)/Datos!BF16," - ")</f>
        <v>-2.2123508405191103E-2</v>
      </c>
      <c r="K16" s="462">
        <f>IF(ISNUMBER((((NºAsuntos!C16+NºAsuntos!E16)/NºAsuntos!G16)-Datos!BG16)/Datos!BG16),(((NºAsuntos!C16+NºAsuntos!E16)/NºAsuntos!G16)-Datos!BG16)/Datos!BG16," - ")</f>
        <v>-2.5541804741568318E-2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0.73529411764705888</v>
      </c>
      <c r="C17" s="456">
        <f>IF(ISNUMBER(
   IF(D_I="SI",(Datos!J17-Datos!T17)/Datos!T17,(Datos!J17+Datos!AD17-(Datos!T17+Datos!AL17))/(Datos!T17+Datos!AL17))
     ),IF(D_I="SI",(Datos!J17-Datos!T17)/Datos!T17,(Datos!J17+Datos!AD17-(Datos!T17+Datos!AL17))/(Datos!T17+Datos!AL17))," - ")</f>
        <v>0.54166666666666663</v>
      </c>
      <c r="D17" s="456">
        <f>IF(ISNUMBER(
   IF(D_I="SI",(Datos!K17-Datos!U17)/Datos!U17,(Datos!K17+Datos!AE17-(Datos!U17+Datos!AM17))/(Datos!U17+Datos!AM17))
     ),IF(D_I="SI",(Datos!K17-Datos!U17)/Datos!U17,(Datos!K17+Datos!AE17-(Datos!U17+Datos!AM17))/(Datos!U17+Datos!AM17))," - ")</f>
        <v>1.1020408163265305</v>
      </c>
      <c r="E17" s="456">
        <f>IF(ISNUMBER(
   IF(D_I="SI",(Datos!L17-Datos!V17)/Datos!V17,(Datos!L17+Datos!AF17-(Datos!V17+Datos!AN17))/(Datos!V17+Datos!AN17))
     ),IF(D_I="SI",(Datos!L17-Datos!V17)/Datos!V17,(Datos!L17+Datos!AF17-(Datos!V17+Datos!AN17))/(Datos!V17+Datos!AN17))," - ")</f>
        <v>-9.0909090909090912E-2</v>
      </c>
      <c r="F17" s="456">
        <f>IF(ISNUMBER((Datos!M17-Datos!W17)/Datos!W17),(Datos!M17-Datos!W17)/Datos!W17," - ")</f>
        <v>1.1428571428571428</v>
      </c>
      <c r="G17" s="457">
        <f>IF(ISNUMBER((Datos!N17-Datos!X17)/Datos!X17),(Datos!N17-Datos!X17)/Datos!X17," - ")</f>
        <v>0.35294117647058826</v>
      </c>
      <c r="H17" s="455">
        <f>IF(ISNUMBER(((NºAsuntos!G17/NºAsuntos!E17)-Datos!BD17)/Datos!BD17),((NºAsuntos!G17/NºAsuntos!E17)-Datos!BD17)/Datos!BD17," - ")</f>
        <v>0.36348593491450643</v>
      </c>
      <c r="I17" s="456">
        <f>IF(ISNUMBER(((NºAsuntos!I17/NºAsuntos!G17)-Datos!BE17)/Datos!BE17),((NºAsuntos!I17/NºAsuntos!G17)-Datos!BE17)/Datos!BE17," - ")</f>
        <v>-0.56751985878199473</v>
      </c>
      <c r="J17" s="461">
        <f>IF(ISNUMBER((('Resol  Asuntos'!D17/NºAsuntos!G17)-Datos!BF17)/Datos!BF17),(('Resol  Asuntos'!D17/NºAsuntos!G17)-Datos!BF17)/Datos!BF17," - ")</f>
        <v>1.9417475728155331E-2</v>
      </c>
      <c r="K17" s="462">
        <f>IF(ISNUMBER((((NºAsuntos!C17+NºAsuntos!E17)/NºAsuntos!G17)-Datos!BG17)/Datos!BG17),(((NºAsuntos!C17+NºAsuntos!E17)/NºAsuntos!G17)-Datos!BG17)/Datos!BG17," - ")</f>
        <v>-0.22839213829031493</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0.24013157894736842</v>
      </c>
      <c r="C18" s="855">
        <f>IF(ISNUMBER(
   IF(Criterios!B14="SI",(Datos!J18-Datos!T18)/Datos!T18,(Datos!J18+Datos!AD18-(Datos!T18+Datos!AL18))/(Datos!T18+Datos!AL18))
     ),IF(Criterios!B14="SI",(Datos!J18-Datos!T18)/Datos!T18,(Datos!J18+Datos!AD18-(Datos!T18+Datos!AL18))/(Datos!T18+Datos!AL18))," - ")</f>
        <v>0.18383311603650587</v>
      </c>
      <c r="D18" s="855">
        <f>IF(ISNUMBER(
   IF(Criterios!B14="SI",(Datos!K18-Datos!U18)/Datos!U18,(Datos!K18+Datos!AE18-(Datos!U18+Datos!AM18))/(Datos!U18+Datos!AM18))
     ),IF(Criterios!B14="SI",(Datos!K18-Datos!U18)/Datos!U18,(Datos!K18+Datos!AE18-(Datos!U18+Datos!AM18))/(Datos!U18+Datos!AM18))," - ")</f>
        <v>0.28591749644381226</v>
      </c>
      <c r="E18" s="855">
        <f>IF(ISNUMBER(
   IF(Criterios!B14="SI",(Datos!L18-Datos!V18)/Datos!V18,(Datos!L18+Datos!AF18-(Datos!V18+Datos!AN18))/(Datos!V18+Datos!AN18))
     ),IF(Criterios!B14="SI",(Datos!L18-Datos!V18)/Datos!V18,(Datos!L18+Datos!AF18-(Datos!V18+Datos!AN18))/(Datos!V18+Datos!AN18))," - ")</f>
        <v>0.16700819672131148</v>
      </c>
      <c r="F18" s="856">
        <f>IF(ISNUMBER((Datos!M18-Datos!W18)/Datos!W18),(Datos!M18-Datos!W18)/Datos!W18," - ")</f>
        <v>0.26881720430107525</v>
      </c>
      <c r="G18" s="857">
        <f>IF(ISNUMBER((Datos!N18-Datos!X18)/Datos!X18),(Datos!N18-Datos!X18)/Datos!X18," - ")</f>
        <v>0.17411764705882352</v>
      </c>
      <c r="H18" s="857">
        <f>IF(ISNUMBER(((NºAsuntos!G18/NºAsuntos!E18)-Datos!BD18)/Datos!BD18),((NºAsuntos!G18/NºAsuntos!E18)-Datos!BD18)/Datos!BD18," - ")</f>
        <v>8.6232070233925082E-2</v>
      </c>
      <c r="I18" s="857">
        <f>IF(ISNUMBER(((NºAsuntos!I18/NºAsuntos!G18)-Datos!BE18)/Datos!BE18),((NºAsuntos!I18/NºAsuntos!G18)-Datos!BE18)/Datos!BE18," - ")</f>
        <v>-9.2470395691280988E-2</v>
      </c>
      <c r="J18" s="857">
        <f>IF(ISNUMBER((('Resol  Asuntos'!D18/NºAsuntos!G18)-Datos!BF18)/Datos!BF18),(('Resol  Asuntos'!D18/NºAsuntos!G18)-Datos!BF18)/Datos!BF18," - ")</f>
        <v>-1.3298125416309732E-2</v>
      </c>
      <c r="K18" s="857">
        <f>IF(ISNUMBER((((NºAsuntos!C18+NºAsuntos!E18)/NºAsuntos!G18)-Datos!BG18)/Datos!BG18),(((NºAsuntos!C18+NºAsuntos!E18)/NºAsuntos!G18)-Datos!BG18)/Datos!BG18," - ")</f>
        <v>-5.5605554296436495E-2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0.26402349486049925</v>
      </c>
      <c r="C19" s="802">
        <f>IF(ISNUMBER(
   IF(J_V="SI",(Datos!J19-Datos!T19)/Datos!T19,(Datos!J19+Datos!Z19-(Datos!T19+Datos!AH19))/(Datos!T19+Datos!AH19))
     ),IF(J_V="SI",(Datos!J19-Datos!T19)/Datos!T19,(Datos!J19+Datos!Z19-(Datos!T19+Datos!AH19))/(Datos!T19+Datos!AH19))," - ")</f>
        <v>0.34772324068598465</v>
      </c>
      <c r="D19" s="802">
        <f>IF(ISNUMBER(
   IF(J_V="SI",(Datos!K19-Datos!U19)/Datos!U19,(Datos!K19+Datos!AA19-(Datos!U19+Datos!AI19))/(Datos!U19+Datos!AI19))
     ),IF(J_V="SI",(Datos!K19-Datos!U19)/Datos!U19,(Datos!K19+Datos!AA19-(Datos!U19+Datos!AI19))/(Datos!U19+Datos!AI19))," - ")</f>
        <v>0.30641958967571142</v>
      </c>
      <c r="E19" s="802">
        <f>IF(ISNUMBER(
   IF(J_V="SI",(Datos!L19-Datos!V19)/Datos!V19,(Datos!L19+Datos!AB19-(Datos!V19+Datos!AJ19))/(Datos!V19+Datos!AJ19))
     ),IF(J_V="SI",(Datos!L19-Datos!V19)/Datos!V19,(Datos!L19+Datos!AB19-(Datos!V19+Datos!AJ19))/(Datos!V19+Datos!AJ19))," - ")</f>
        <v>0.28675034867503485</v>
      </c>
      <c r="F19" s="803">
        <f>IF(ISNUMBER((Datos!M19-Datos!W19)/Datos!W19),(Datos!M19-Datos!W19)/Datos!W19," - ")</f>
        <v>0.31129476584022037</v>
      </c>
      <c r="G19" s="804">
        <f>IF(ISNUMBER((Datos!N19-Datos!X19)/Datos!X19),(Datos!N19-Datos!X19)/Datos!X19," - ")</f>
        <v>0.53833865814696491</v>
      </c>
      <c r="H19" s="805">
        <f>IF(ISNUMBER((Tasas!B19-Datos!BD19)/Datos!BD19),(Tasas!B19-Datos!BD19)/Datos!BD19," - ")</f>
        <v>-3.0646982825086492E-2</v>
      </c>
      <c r="I19" s="806">
        <f>IF(ISNUMBER((Tasas!C19-Datos!BE19)/Datos!BE19),(Tasas!C19-Datos!BE19)/Datos!BE19," - ")</f>
        <v>-1.5055837463030578E-2</v>
      </c>
      <c r="J19" s="807">
        <f>IF(ISNUMBER((Tasas!D19-Datos!BF19)/Datos!BF19),(Tasas!D19-Datos!BF19)/Datos!BF19," - ")</f>
        <v>0.23092773624688503</v>
      </c>
      <c r="K19" s="807">
        <f>IF(ISNUMBER((Tasas!E19-Datos!BG19)/Datos!BG19),(Tasas!E19-Datos!BG19)/Datos!BG19," - ")</f>
        <v>-1.1192500147124539E-2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24 sep.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zJ+atWjlr/MiwCrl7hTIBOaSAgHwUx4AL938+s0xpeCyufq/kWaEPVm8Y/l3ppCTvTUxCGe2Q0+eIKhdfRhnaA==" saltValue="sI+Lkg7TEsvLmLJSyVG6oQ=="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GALICIA</v>
      </c>
    </row>
    <row r="3" spans="1:7" ht="19.5">
      <c r="A3" s="436" t="s">
        <v>12</v>
      </c>
      <c r="B3" s="391" t="str">
        <f>Criterios!A10 &amp;"  "&amp;Criterios!B10</f>
        <v>Provincias  A CORUÑA</v>
      </c>
    </row>
    <row r="4" spans="1:7" ht="11.25" customHeight="1" thickBot="1">
      <c r="B4" s="391" t="str">
        <f>Criterios!A11 &amp;"  "&amp;Criterios!B11</f>
        <v>Resumenes por Partidos Judiciales  BETANZOS</v>
      </c>
    </row>
    <row r="5" spans="1:7" ht="12.75" customHeight="1">
      <c r="A5" s="1210" t="str">
        <f>"Año:  " &amp;Criterios!B5 &amp; "    Trimestre   " &amp;Criterios!D5 &amp; " al " &amp;Criterios!D6</f>
        <v>Año:  2024    Trimestre   2 al 2</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0.75</v>
      </c>
      <c r="C10" s="443">
        <f>IF(ISNUMBER(NºAsuntos!I10/NºAsuntos!G10),NºAsuntos!I10/NºAsuntos!G10," - ")</f>
        <v>1.4444444444444444</v>
      </c>
      <c r="D10" s="444">
        <f>IF(ISNUMBER('Resol  Asuntos'!D10/NºAsuntos!G10),'Resol  Asuntos'!D10/NºAsuntos!G10," - ")</f>
        <v>0.77777777777777779</v>
      </c>
      <c r="E10" s="445">
        <f>IF(ISNUMBER((NºAsuntos!C10+NºAsuntos!E10)/NºAsuntos!G10),(NºAsuntos!C10+NºAsuntos!E10)/NºAsuntos!G10," - ")</f>
        <v>2.4444444444444446</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0.78072111846946279</v>
      </c>
      <c r="C12" s="443">
        <f>IF(ISNUMBER(NºAsuntos!I12/NºAsuntos!G12),NºAsuntos!I12/NºAsuntos!G12," - ")</f>
        <v>3.2620169651272386</v>
      </c>
      <c r="D12" s="444">
        <f>IF(ISNUMBER('Resol  Asuntos'!D12/NºAsuntos!G12),'Resol  Asuntos'!D12/NºAsuntos!G12," - ")</f>
        <v>0.33081998114985861</v>
      </c>
      <c r="E12" s="445">
        <f>IF(ISNUMBER((NºAsuntos!C12+NºAsuntos!E12)/NºAsuntos!G12),(NºAsuntos!C12+NºAsuntos!E12)/NºAsuntos!G12," - ")</f>
        <v>4.2620169651272386</v>
      </c>
      <c r="G12" s="463"/>
    </row>
    <row r="13" spans="1:7" ht="14.25" thickTop="1" thickBot="1">
      <c r="A13" s="848" t="str">
        <f>Datos!A13</f>
        <v>TOTAL</v>
      </c>
      <c r="B13" s="858">
        <f>IF(ISNUMBER(NºAsuntos!G13/NºAsuntos!E13),NºAsuntos!G13/NºAsuntos!E13," - ")</f>
        <v>0.78045222465353759</v>
      </c>
      <c r="C13" s="859">
        <f>IF(ISNUMBER(NºAsuntos!I13/NºAsuntos!G13),NºAsuntos!I13/NºAsuntos!G13," - ")</f>
        <v>3.2467289719626167</v>
      </c>
      <c r="D13" s="860">
        <f>IF(ISNUMBER('Resol  Asuntos'!D13/NºAsuntos!G13),'Resol  Asuntos'!D13/NºAsuntos!G13," - ")</f>
        <v>0.33457943925233646</v>
      </c>
      <c r="E13" s="861">
        <f>IF(ISNUMBER((NºAsuntos!C13+NºAsuntos!E13)/NºAsuntos!G13),(NºAsuntos!C13+NºAsuntos!E13)/NºAsuntos!G13," - ")</f>
        <v>4.2467289719626171</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0.96043165467625902</v>
      </c>
      <c r="C16" s="443">
        <f>IF(ISNUMBER(NºAsuntos!I16/NºAsuntos!G16),NºAsuntos!I16/NºAsuntos!G16," - ")</f>
        <v>1.3845193508114857</v>
      </c>
      <c r="D16" s="444">
        <f>IF(ISNUMBER('Resol  Asuntos'!D16/NºAsuntos!G16),'Resol  Asuntos'!D16/NºAsuntos!G16," - ")</f>
        <v>0.1285892634207241</v>
      </c>
      <c r="E16" s="445">
        <f>IF(ISNUMBER((NºAsuntos!C16+NºAsuntos!E16)/NºAsuntos!G16),(NºAsuntos!C16+NºAsuntos!E16)/NºAsuntos!G16," - ")</f>
        <v>2.3795255930087391</v>
      </c>
      <c r="G16" s="463"/>
    </row>
    <row r="17" spans="1:7" ht="13.5" thickBot="1">
      <c r="A17" s="402" t="str">
        <f>Datos!A17</f>
        <v>Jdos. Violencia contra la mujer</v>
      </c>
      <c r="B17" s="442">
        <f>IF(ISNUMBER(NºAsuntos!G17/NºAsuntos!E17),NºAsuntos!G17/NºAsuntos!E17," - ")</f>
        <v>1.3918918918918919</v>
      </c>
      <c r="C17" s="443">
        <f>IF(ISNUMBER(NºAsuntos!I17/NºAsuntos!G17),NºAsuntos!I17/NºAsuntos!G17," - ")</f>
        <v>0.29126213592233008</v>
      </c>
      <c r="D17" s="444">
        <f>IF(ISNUMBER('Resol  Asuntos'!D17/NºAsuntos!G17),'Resol  Asuntos'!D17/NºAsuntos!G17," - ")</f>
        <v>0.14563106796116504</v>
      </c>
      <c r="E17" s="445">
        <f>IF(ISNUMBER((NºAsuntos!C17+NºAsuntos!E17)/NºAsuntos!G17),(NºAsuntos!C17+NºAsuntos!E17)/NºAsuntos!G17," - ")</f>
        <v>1.2912621359223302</v>
      </c>
      <c r="G17" s="463"/>
    </row>
    <row r="18" spans="1:7" ht="14.25" thickTop="1" thickBot="1">
      <c r="A18" s="848" t="str">
        <f>Datos!A18</f>
        <v>TOTAL</v>
      </c>
      <c r="B18" s="858">
        <f>IF(ISNUMBER(NºAsuntos!G18/NºAsuntos!E18),NºAsuntos!G18/NºAsuntos!E18," - ")</f>
        <v>0.99559471365638763</v>
      </c>
      <c r="C18" s="859">
        <f>IF(ISNUMBER(NºAsuntos!I18/NºAsuntos!G18),NºAsuntos!I18/NºAsuntos!G18," - ")</f>
        <v>1.2599557522123894</v>
      </c>
      <c r="D18" s="862">
        <f>IF(ISNUMBER('Resol  Asuntos'!D18/NºAsuntos!G18),'Resol  Asuntos'!D18/NºAsuntos!G18," - ")</f>
        <v>0.13053097345132744</v>
      </c>
      <c r="E18" s="861">
        <f>IF(ISNUMBER((NºAsuntos!C18+NºAsuntos!E18)/NºAsuntos!G18),(NºAsuntos!C18+NºAsuntos!E18)/NºAsuntos!G18," - ")</f>
        <v>2.2555309734513274</v>
      </c>
      <c r="G18" s="463"/>
    </row>
    <row r="19" spans="1:7" ht="15.75" customHeight="1" thickTop="1" thickBot="1">
      <c r="A19" s="793" t="str">
        <f>Datos!A19</f>
        <v>TOTAL JURISDICCIONES</v>
      </c>
      <c r="B19" s="808">
        <f>IF(ISNUMBER(NºAsuntos!G19/NºAsuntos!E19),NºAsuntos!G19/NºAsuntos!E19," - ")</f>
        <v>0.86616937253181214</v>
      </c>
      <c r="C19" s="809">
        <f>IF(ISNUMBER(NºAsuntos!I19/NºAsuntos!G19),NºAsuntos!I19/NºAsuntos!G19," - ")</f>
        <v>2.3368794326241136</v>
      </c>
      <c r="D19" s="810">
        <f>IF(ISNUMBER('Resol  Asuntos'!D19/NºAsuntos!G19),'Resol  Asuntos'!D19/NºAsuntos!G19," - ")</f>
        <v>0.24113475177304963</v>
      </c>
      <c r="E19" s="811">
        <f>IF(ISNUMBER((NºAsuntos!C19+NºAsuntos!E19)/NºAsuntos!G19),(NºAsuntos!C19+NºAsuntos!E19)/NºAsuntos!G19," - ")</f>
        <v>3.3348530901722393</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24 sep.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w4GkDrf/ZZO/NdO+XzhDAea5JUpbEEgn2vIPBDyFoyE1e3yA8rCUtZeM2ij9UPpAbWdurVeSFxf2BKMuQmFmIA==" saltValue="rtnIrzAt0IZX7uDVDdz1ng=="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GALICIA</v>
      </c>
      <c r="G2" s="263"/>
      <c r="H2" s="262"/>
      <c r="I2" s="262"/>
      <c r="J2" s="262"/>
      <c r="K2" s="262"/>
      <c r="L2" s="262" t="str">
        <f>Criterios!A10 &amp;"  "&amp;Criterios!B10</f>
        <v>Provincias  A CORUÑA</v>
      </c>
      <c r="N2" s="262" t="str">
        <f>Criterios!A11 &amp;"  "&amp;Criterios!B11</f>
        <v>Resumenes por Partidos Judiciales  BETANZOS</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2 al 2</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10</v>
      </c>
      <c r="G10" s="333">
        <f>IF(ISNUMBER(Datos!I10),Datos!I10," - ")</f>
        <v>10</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3</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9</v>
      </c>
      <c r="X10" s="226">
        <f>IF(ISNUMBER(Datos!Q10),Datos!Q10," - ")</f>
        <v>0</v>
      </c>
      <c r="Y10" s="334">
        <f t="shared" ref="Y10:Y12" si="0">SUM(W10:X10)</f>
        <v>9</v>
      </c>
      <c r="Z10" s="335" t="str">
        <f>IF(ISNUMBER(Datos!CC10),Datos!CC10," - ")</f>
        <v xml:space="preserve"> - </v>
      </c>
      <c r="AA10" s="332">
        <f>IF(ISNUMBER(Datos!L10),Datos!L10,"-")</f>
        <v>13</v>
      </c>
      <c r="AB10" s="334">
        <f>IF(ISNUMBER(Datos!R10),Datos!R10," - ")</f>
        <v>12</v>
      </c>
      <c r="AC10" s="334">
        <f t="shared" ref="AC10:AC12" si="1">IF(ISNUMBER(AA10+AB10),AA10+AB10," - ")</f>
        <v>25</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7</v>
      </c>
      <c r="AJ10" s="231" t="str">
        <f>IF(ISNUMBER(Datos!BW10),Datos!BW10," - ")</f>
        <v xml:space="preserve"> - </v>
      </c>
      <c r="AK10" s="232" t="str">
        <f>IF(ISNUMBER(Datos!BX10),Datos!BX10," - ")</f>
        <v xml:space="preserve"> - </v>
      </c>
      <c r="AL10" s="243">
        <f>IF(ISNUMBER(NºAsuntos!G10/NºAsuntos!E10),NºAsuntos!G10/NºAsuntos!E10," - ")</f>
        <v>0.75</v>
      </c>
      <c r="AM10" s="260">
        <f>IF(ISNUMBER(((NºAsuntos!I10/NºAsuntos!G10)*11)/factor_trimestre),((NºAsuntos!I10/NºAsuntos!G10)*11)/factor_trimestre," - ")</f>
        <v>4.3333333333333339</v>
      </c>
      <c r="AN10" s="244">
        <f>IF(ISNUMBER('Resol  Asuntos'!D10/NºAsuntos!G10),'Resol  Asuntos'!D10/NºAsuntos!G10," - ")</f>
        <v>0.77777777777777779</v>
      </c>
      <c r="AO10" s="245">
        <f>IF(ISNUMBER((NºAsuntos!C10+NºAsuntos!E10)/NºAsuntos!G10),(NºAsuntos!C10+NºAsuntos!E10)/NºAsuntos!G10," - ")</f>
        <v>2.4444444444444446</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4</v>
      </c>
      <c r="B12" s="275" t="s">
        <v>246</v>
      </c>
      <c r="C12" s="7" t="str">
        <f>Datos!A12</f>
        <v xml:space="preserve">Jdos. 1ª Instª. e Instr.                        </v>
      </c>
      <c r="D12" s="7"/>
      <c r="E12" s="1025">
        <f>IF(ISNUMBER(Datos!AQ12),Datos!AQ12," - ")</f>
        <v>4</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339</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134</v>
      </c>
      <c r="Y12" s="334">
        <f t="shared" si="0"/>
        <v>134</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3819</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351</v>
      </c>
      <c r="AJ12" s="229" t="str">
        <f>IF(ISNUMBER(Datos!BW12),Datos!BW12," - ")</f>
        <v xml:space="preserve"> - </v>
      </c>
      <c r="AK12" s="228" t="str">
        <f>IF(ISNUMBER(Datos!BX12),Datos!BX12," - ")</f>
        <v xml:space="preserve"> - </v>
      </c>
      <c r="AL12" s="243">
        <f>IF(ISNUMBER(NºAsuntos!G12/NºAsuntos!E12),NºAsuntos!G12/NºAsuntos!E12," - ")</f>
        <v>0.78072111846946279</v>
      </c>
      <c r="AM12" s="260">
        <f>IF(ISNUMBER(((NºAsuntos!I12/NºAsuntos!G12)*11)/factor_trimestre),((NºAsuntos!I12/NºAsuntos!G12)*11)/factor_trimestre," - ")</f>
        <v>9.7860508953817149</v>
      </c>
      <c r="AN12" s="244">
        <f>IF(ISNUMBER('Resol  Asuntos'!D12/NºAsuntos!G12),'Resol  Asuntos'!D12/NºAsuntos!G12," - ")</f>
        <v>0.33081998114985861</v>
      </c>
      <c r="AO12" s="245">
        <f>IF(ISNUMBER((NºAsuntos!C12+NºAsuntos!E12)/NºAsuntos!G12),(NºAsuntos!C12+NºAsuntos!E12)/NºAsuntos!G12," - ")</f>
        <v>4.2620169651272386</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4</v>
      </c>
      <c r="F13" s="865">
        <f t="shared" si="3"/>
        <v>10</v>
      </c>
      <c r="G13" s="866">
        <f t="shared" si="3"/>
        <v>10</v>
      </c>
      <c r="H13" s="865">
        <f t="shared" si="3"/>
        <v>0</v>
      </c>
      <c r="I13" s="867">
        <f t="shared" si="3"/>
        <v>0</v>
      </c>
      <c r="J13" s="867">
        <f t="shared" si="3"/>
        <v>0</v>
      </c>
      <c r="K13" s="867">
        <f t="shared" si="3"/>
        <v>0</v>
      </c>
      <c r="L13" s="867">
        <f t="shared" si="3"/>
        <v>342</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9</v>
      </c>
      <c r="X13" s="867">
        <f t="shared" si="4"/>
        <v>134</v>
      </c>
      <c r="Y13" s="868">
        <f t="shared" si="4"/>
        <v>143</v>
      </c>
      <c r="Z13" s="868">
        <f t="shared" si="4"/>
        <v>0</v>
      </c>
      <c r="AA13" s="868">
        <f t="shared" si="4"/>
        <v>13</v>
      </c>
      <c r="AB13" s="868">
        <f t="shared" si="4"/>
        <v>3831</v>
      </c>
      <c r="AC13" s="868">
        <f t="shared" si="4"/>
        <v>25</v>
      </c>
      <c r="AD13" s="868">
        <f t="shared" si="4"/>
        <v>0</v>
      </c>
      <c r="AE13" s="872">
        <f t="shared" si="4"/>
        <v>0</v>
      </c>
      <c r="AF13" s="865">
        <f t="shared" si="4"/>
        <v>0</v>
      </c>
      <c r="AG13" s="873">
        <f t="shared" si="4"/>
        <v>0</v>
      </c>
      <c r="AH13" s="870">
        <f t="shared" si="4"/>
        <v>0</v>
      </c>
      <c r="AI13" s="865">
        <f t="shared" si="4"/>
        <v>358</v>
      </c>
      <c r="AJ13" s="867">
        <f t="shared" si="4"/>
        <v>0</v>
      </c>
      <c r="AK13" s="870">
        <f>SUBTOTAL(9,AK9:AK12)</f>
        <v>0</v>
      </c>
      <c r="AL13" s="874">
        <f>IF(ISNUMBER(NºAsuntos!G13/NºAsuntos!E13),NºAsuntos!G13/NºAsuntos!E13," - ")</f>
        <v>0.78045222465353759</v>
      </c>
      <c r="AM13" s="874">
        <f>IF(ISNUMBER(((NºAsuntos!I13/NºAsuntos!G13)*11)/factor_trimestre),((NºAsuntos!I13/NºAsuntos!G13)*11)/factor_trimestre," - ")</f>
        <v>9.7401869158878505</v>
      </c>
      <c r="AN13" s="875">
        <f>IF(ISNUMBER('Resol  Asuntos'!D13/NºAsuntos!G13),'Resol  Asuntos'!D13/NºAsuntos!G13," - ")</f>
        <v>0.33457943925233646</v>
      </c>
      <c r="AO13" s="876">
        <f>IF(ISNUMBER((NºAsuntos!C13+NºAsuntos!E13)/NºAsuntos!G13),(NºAsuntos!C13+NºAsuntos!E13)/NºAsuntos!G13," - ")</f>
        <v>4.2467289719626171</v>
      </c>
      <c r="AP13" s="877" t="str">
        <f t="shared" si="2"/>
        <v xml:space="preserve"> - </v>
      </c>
      <c r="AQ13" s="877">
        <f>IF(ISNUMBER((H13-W13+K13)/(F13)),(H13-W13+K13)/(F13)," - ")</f>
        <v>-0.9</v>
      </c>
      <c r="AR13" s="878">
        <f>IF(ISNUMBER((Datos!P13-Datos!Q13)/(Datos!R13-Datos!P13+Datos!Q13)),(Datos!P13-Datos!Q13)/(Datos!R13-Datos!P13+Datos!Q13)," - ")</f>
        <v>5.7410985371239308E-2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4</v>
      </c>
      <c r="B16" s="275" t="s">
        <v>396</v>
      </c>
      <c r="C16" s="160" t="str">
        <f>Datos!A16</f>
        <v xml:space="preserve">Jdos. 1ª Instª. e Instr.                        </v>
      </c>
      <c r="D16" s="160"/>
      <c r="E16" s="1025">
        <f>IF(ISNUMBER(Datos!AQ16),Datos!AQ16," - ")</f>
        <v>4</v>
      </c>
      <c r="F16" s="225">
        <f>IF(ISNUMBER(AA16+W16-Datos!J16-K16),AA16+W16-Datos!J16-K16," - ")</f>
        <v>1076</v>
      </c>
      <c r="G16" s="333">
        <f>IF(ISNUMBER(IF(D_I="SI",Datos!I16,Datos!I16+Datos!AC16)),IF(D_I="SI",Datos!I16,Datos!I16+Datos!AC16)," - ")</f>
        <v>1072</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29</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801</v>
      </c>
      <c r="X16" s="226">
        <f>IF(ISNUMBER(Datos!Q16),Datos!Q16," - ")</f>
        <v>20</v>
      </c>
      <c r="Y16" s="334">
        <f t="shared" ref="Y16:Y17" si="7">SUM(W16:X16)</f>
        <v>821</v>
      </c>
      <c r="Z16" s="335" t="str">
        <f>IF(ISNUMBER(Datos!CC16),Datos!CC16," - ")</f>
        <v xml:space="preserve"> - </v>
      </c>
      <c r="AA16" s="332">
        <f>IF(ISNUMBER(IF(D_I="SI",Datos!L16,Datos!L16+Datos!AF16)),IF(D_I="SI",Datos!L16,Datos!L16+Datos!AF16)," - ")</f>
        <v>1109</v>
      </c>
      <c r="AB16" s="334">
        <f>IF(ISNUMBER(Datos!R16),Datos!R16," - ")</f>
        <v>118</v>
      </c>
      <c r="AC16" s="334">
        <f t="shared" si="6"/>
        <v>1227</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103</v>
      </c>
      <c r="AJ16" s="231" t="str">
        <f>IF(ISNUMBER(Datos!BW16),Datos!BW16," - ")</f>
        <v xml:space="preserve"> - </v>
      </c>
      <c r="AK16" s="232" t="str">
        <f>IF(ISNUMBER(Datos!BX16),Datos!BX16," - ")</f>
        <v xml:space="preserve"> - </v>
      </c>
      <c r="AL16" s="243">
        <f>IF(ISNUMBER(NºAsuntos!G16/NºAsuntos!E16),NºAsuntos!G16/NºAsuntos!E16," - ")</f>
        <v>0.96043165467625902</v>
      </c>
      <c r="AM16" s="260">
        <f>IF(ISNUMBER(((NºAsuntos!I16/NºAsuntos!G16)*11)/factor_trimestre),((NºAsuntos!I16/NºAsuntos!G16)*11)/factor_trimestre," - ")</f>
        <v>4.1535580524344571</v>
      </c>
      <c r="AN16" s="244">
        <f>IF(ISNUMBER('Resol  Asuntos'!D16/NºAsuntos!G16),'Resol  Asuntos'!D16/NºAsuntos!G16," - ")</f>
        <v>0.1285892634207241</v>
      </c>
      <c r="AO16" s="245">
        <f>IF(ISNUMBER((NºAsuntos!C16+NºAsuntos!E16)/NºAsuntos!G16),(NºAsuntos!C16+NºAsuntos!E16)/NºAsuntos!G16," - ")</f>
        <v>2.3795255930087391</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59</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2</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103</v>
      </c>
      <c r="X17" s="226">
        <f>IF(ISNUMBER(Datos!Q17),Datos!Q17," - ")</f>
        <v>0</v>
      </c>
      <c r="Y17" s="334">
        <f t="shared" si="7"/>
        <v>103</v>
      </c>
      <c r="Z17" s="335" t="str">
        <f>IF(ISNUMBER(Datos!CC17),Datos!CC17," - ")</f>
        <v xml:space="preserve"> - </v>
      </c>
      <c r="AA17" s="332">
        <f>IF(ISNUMBER(Datos!L17),Datos!L17,"-")</f>
        <v>30</v>
      </c>
      <c r="AB17" s="334">
        <f>IF(ISNUMBER(Datos!R17),Datos!R17," - ")</f>
        <v>2</v>
      </c>
      <c r="AC17" s="334">
        <f t="shared" si="6"/>
        <v>32</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15</v>
      </c>
      <c r="AJ17" s="231" t="str">
        <f>IF(ISNUMBER(Datos!BW17),Datos!BW17," - ")</f>
        <v xml:space="preserve"> - </v>
      </c>
      <c r="AK17" s="232" t="str">
        <f>IF(ISNUMBER(Datos!BX17),Datos!BX17," - ")</f>
        <v xml:space="preserve"> - </v>
      </c>
      <c r="AL17" s="243">
        <f>IF(ISNUMBER(NºAsuntos!G17/NºAsuntos!E17),NºAsuntos!G17/NºAsuntos!E17," - ")</f>
        <v>1.3918918918918919</v>
      </c>
      <c r="AM17" s="260">
        <f>IF(ISNUMBER(((NºAsuntos!I17/NºAsuntos!G17)*11)/factor_trimestre),((NºAsuntos!I17/NºAsuntos!G17)*11)/factor_trimestre," - ")</f>
        <v>0.87378640776699035</v>
      </c>
      <c r="AN17" s="244">
        <f>IF(ISNUMBER('Resol  Asuntos'!D17/NºAsuntos!G17),'Resol  Asuntos'!D17/NºAsuntos!G17," - ")</f>
        <v>0.14563106796116504</v>
      </c>
      <c r="AO17" s="245">
        <f>IF(ISNUMBER((NºAsuntos!C17+NºAsuntos!E17)/NºAsuntos!G17),(NºAsuntos!C17+NºAsuntos!E17)/NºAsuntos!G17," - ")</f>
        <v>1.2912621359223302</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4</v>
      </c>
      <c r="F18" s="865">
        <f>SUBTOTAL(9,F14:F17)</f>
        <v>1076</v>
      </c>
      <c r="G18" s="866">
        <f>SUBTOTAL(9,G15:G17)</f>
        <v>1131</v>
      </c>
      <c r="H18" s="865">
        <f t="shared" ref="H18:O18" si="10">SUBTOTAL(9,H14:H17)</f>
        <v>0</v>
      </c>
      <c r="I18" s="867">
        <f t="shared" si="10"/>
        <v>0</v>
      </c>
      <c r="J18" s="867">
        <f t="shared" si="10"/>
        <v>0</v>
      </c>
      <c r="K18" s="867">
        <f t="shared" si="10"/>
        <v>0</v>
      </c>
      <c r="L18" s="867">
        <f t="shared" si="10"/>
        <v>31</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904</v>
      </c>
      <c r="X18" s="867">
        <f t="shared" si="11"/>
        <v>20</v>
      </c>
      <c r="Y18" s="868">
        <f t="shared" si="11"/>
        <v>924</v>
      </c>
      <c r="Z18" s="868">
        <f t="shared" si="11"/>
        <v>0</v>
      </c>
      <c r="AA18" s="868">
        <f t="shared" si="11"/>
        <v>1139</v>
      </c>
      <c r="AB18" s="868">
        <f t="shared" si="11"/>
        <v>120</v>
      </c>
      <c r="AC18" s="868">
        <f t="shared" si="11"/>
        <v>1259</v>
      </c>
      <c r="AD18" s="868">
        <f t="shared" si="11"/>
        <v>0</v>
      </c>
      <c r="AE18" s="872">
        <f t="shared" si="11"/>
        <v>0</v>
      </c>
      <c r="AF18" s="865">
        <f t="shared" si="11"/>
        <v>0</v>
      </c>
      <c r="AG18" s="873">
        <f t="shared" si="11"/>
        <v>0</v>
      </c>
      <c r="AH18" s="870">
        <f t="shared" si="11"/>
        <v>0</v>
      </c>
      <c r="AI18" s="865">
        <f t="shared" si="11"/>
        <v>118</v>
      </c>
      <c r="AJ18" s="867">
        <f t="shared" si="11"/>
        <v>0</v>
      </c>
      <c r="AK18" s="870">
        <f t="shared" si="11"/>
        <v>0</v>
      </c>
      <c r="AL18" s="874">
        <f>IF(ISNUMBER(NºAsuntos!G18/NºAsuntos!E18),NºAsuntos!G18/NºAsuntos!E18," - ")</f>
        <v>0.99559471365638763</v>
      </c>
      <c r="AM18" s="874">
        <f>IF(ISNUMBER(((NºAsuntos!I18/NºAsuntos!G18)*11)/factor_trimestre),((NºAsuntos!I18/NºAsuntos!G18)*11)/factor_trimestre," - ")</f>
        <v>3.7798672566371683</v>
      </c>
      <c r="AN18" s="875">
        <f>IF(ISNUMBER('Resol  Asuntos'!D18/NºAsuntos!G18),'Resol  Asuntos'!D18/NºAsuntos!G18," - ")</f>
        <v>0.13053097345132744</v>
      </c>
      <c r="AO18" s="876">
        <f>IF(ISNUMBER((NºAsuntos!C18+NºAsuntos!E18)/NºAsuntos!G18),(NºAsuntos!C18+NºAsuntos!E18)/NºAsuntos!G18," - ")</f>
        <v>2.2555309734513274</v>
      </c>
      <c r="AP18" s="877" t="str">
        <f t="shared" si="2"/>
        <v xml:space="preserve"> - </v>
      </c>
      <c r="AQ18" s="877">
        <f>IF(ISNUMBER((H18-W18+K18)/(F18)),(H18-W18+K18)/(F18)," - ")</f>
        <v>-0.8401486988847584</v>
      </c>
      <c r="AR18" s="878">
        <f>IF(ISNUMBER((Datos!P18-Datos!Q18)/(Datos!R18-Datos!P18+Datos!Q18)),(Datos!P18-Datos!Q18)/(Datos!R18-Datos!P18+Datos!Q18)," - ")</f>
        <v>0.10091743119266056</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8</v>
      </c>
      <c r="F19" s="820">
        <f t="shared" si="13"/>
        <v>1086</v>
      </c>
      <c r="G19" s="821">
        <f t="shared" si="13"/>
        <v>1141</v>
      </c>
      <c r="H19" s="820">
        <f t="shared" si="13"/>
        <v>0</v>
      </c>
      <c r="I19" s="822">
        <f t="shared" si="13"/>
        <v>0</v>
      </c>
      <c r="J19" s="822">
        <f t="shared" si="13"/>
        <v>0</v>
      </c>
      <c r="K19" s="881">
        <f t="shared" si="13"/>
        <v>0</v>
      </c>
      <c r="L19" s="822">
        <f t="shared" si="13"/>
        <v>373</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913</v>
      </c>
      <c r="X19" s="821">
        <f t="shared" si="14"/>
        <v>154</v>
      </c>
      <c r="Y19" s="828">
        <f t="shared" si="14"/>
        <v>1067</v>
      </c>
      <c r="Z19" s="828">
        <f t="shared" si="14"/>
        <v>0</v>
      </c>
      <c r="AA19" s="828">
        <f t="shared" si="14"/>
        <v>1152</v>
      </c>
      <c r="AB19" s="828">
        <f t="shared" si="14"/>
        <v>3951</v>
      </c>
      <c r="AC19" s="828">
        <f t="shared" si="14"/>
        <v>1284</v>
      </c>
      <c r="AD19" s="828">
        <f t="shared" si="14"/>
        <v>0</v>
      </c>
      <c r="AE19" s="830">
        <f t="shared" si="14"/>
        <v>0</v>
      </c>
      <c r="AF19" s="831">
        <f t="shared" si="14"/>
        <v>0</v>
      </c>
      <c r="AG19" s="832">
        <f t="shared" si="14"/>
        <v>0</v>
      </c>
      <c r="AH19" s="830">
        <f t="shared" si="14"/>
        <v>0</v>
      </c>
      <c r="AI19" s="820">
        <f t="shared" si="14"/>
        <v>476</v>
      </c>
      <c r="AJ19" s="820">
        <f t="shared" si="14"/>
        <v>0</v>
      </c>
      <c r="AK19" s="830">
        <f t="shared" si="14"/>
        <v>0</v>
      </c>
      <c r="AL19" s="884">
        <f>IF(ISNUMBER(NºAsuntos!G19/NºAsuntos!E19),NºAsuntos!G19/NºAsuntos!E19," - ")</f>
        <v>0.86616937253181214</v>
      </c>
      <c r="AM19" s="885">
        <f>IF(ISNUMBER(((NºAsuntos!I19/NºAsuntos!G19)*11)/factor_trimestre),((NºAsuntos!I19/NºAsuntos!G19)*11)/factor_trimestre," - ")</f>
        <v>7.0106382978723412</v>
      </c>
      <c r="AN19" s="885">
        <f>IF(ISNUMBER('Resol  Asuntos'!D19/NºAsuntos!G19),'Resol  Asuntos'!D19/NºAsuntos!G19," - ")</f>
        <v>0.24113475177304963</v>
      </c>
      <c r="AO19" s="886">
        <f>IF(ISNUMBER((NºAsuntos!C19+NºAsuntos!E19)/NºAsuntos!G19),(NºAsuntos!C19+NºAsuntos!E19)/NºAsuntos!G19," - ")</f>
        <v>3.3348530901722393</v>
      </c>
      <c r="AP19" s="887" t="str">
        <f t="shared" si="2"/>
        <v xml:space="preserve"> - </v>
      </c>
      <c r="AQ19" s="888">
        <f>IF(OR(ISNUMBER(FIND("01",Criterios!A8,1)),ISNUMBER(FIND("02",Criterios!A8,1)),ISNUMBER(FIND("03",Criterios!A8,1)),ISNUMBER(FIND("04",Criterios!A8,1))),(I19-W19+K19)/(F19-K19),(H19-W19+K19)/(F19-K19))</f>
        <v>-0.8406998158379374</v>
      </c>
      <c r="AR19" s="889">
        <f>IF(ISNUMBER((Datos!P19-Datos!Q19)/(Datos!R19-Datos!P19+Datos!Q19)),(Datos!P19-Datos!Q19)/(Datos!R19-Datos!P19+Datos!Q19)," - ")</f>
        <v>5.8681672025723476E-2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456.4</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2.1081851067789197</v>
      </c>
      <c r="F21" s="252">
        <f>IF(ISNUMBER(STDEV(F8:F18)),STDEV(F8:F18),"-")</f>
        <v>615.45538695614107</v>
      </c>
      <c r="G21" s="253">
        <f>IF(ISNUMBER(STDEV(G8:G18)),STDEV(G8:G18),"-")</f>
        <v>589.60181478689492</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447.97678511280026</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158.19060233359841</v>
      </c>
      <c r="AJ21" s="252">
        <f t="shared" si="18"/>
        <v>0</v>
      </c>
      <c r="AK21" s="254">
        <f t="shared" si="18"/>
        <v>0</v>
      </c>
      <c r="AL21" s="249">
        <f t="shared" si="18"/>
        <v>0.2427257766109206</v>
      </c>
      <c r="AM21" s="250">
        <f t="shared" si="18"/>
        <v>3.5739512485274965</v>
      </c>
      <c r="AN21" s="250">
        <f t="shared" si="18"/>
        <v>0.24978611476540871</v>
      </c>
      <c r="AO21" s="251">
        <f t="shared" si="18"/>
        <v>1.1920922491394621</v>
      </c>
      <c r="AP21" s="291" t="str">
        <f t="shared" si="18"/>
        <v>-</v>
      </c>
      <c r="AQ21" s="292">
        <f t="shared" si="18"/>
        <v>4.2321260881425321E-2</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24 sep. 2024</v>
      </c>
      <c r="D30" s="120"/>
    </row>
    <row r="32" spans="1:65">
      <c r="C32" s="1"/>
      <c r="D32" s="1"/>
    </row>
  </sheetData>
  <sheetProtection algorithmName="SHA-512" hashValue="OLubSzhpjKMVptF9mWXk3szTn1J7pFgLxOaguwW9vQohHrz0clPnW+B5l3aPtINgZo8YeNUnTtdoVkFrhiOz6A==" saltValue="GVJGOmZKAHfkMaaANqsm2A=="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GALICIA</v>
      </c>
      <c r="E2" s="263"/>
    </row>
    <row r="3" spans="2:20" ht="17.25" customHeight="1">
      <c r="C3" s="267"/>
      <c r="D3" s="262" t="str">
        <f>Criterios!A10 &amp;"  "&amp;Criterios!B10</f>
        <v>Provincias  A CORUÑA</v>
      </c>
      <c r="E3" s="263"/>
    </row>
    <row r="4" spans="2:20" ht="17.25" customHeight="1" thickBot="1">
      <c r="D4" s="262" t="str">
        <f>Criterios!A11 &amp;"  "&amp;Criterios!B11</f>
        <v>Resumenes por Partidos Judiciales  BETANZOS</v>
      </c>
      <c r="E4" s="263"/>
    </row>
    <row r="5" spans="2:20" ht="12.75" customHeight="1">
      <c r="B5" s="272"/>
      <c r="C5" s="1266" t="str">
        <f>"Año:  " &amp;Criterios!B5 &amp; "          Trimestre   " &amp;Criterios!D5 &amp; " al " &amp;Criterios!D6</f>
        <v>Año:  2024          Trimestre   2 al 2</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-0.2857142857142857</v>
      </c>
      <c r="E10" s="348">
        <f>IF(ISNUMBER((Datos!J10-Datos!T10)/Datos!T10),(Datos!J10-Datos!T10)/Datos!T10," - ")</f>
        <v>0.5</v>
      </c>
      <c r="F10" s="348">
        <f>IF(ISNUMBER((Datos!K10-Datos!U10)/Datos!U10),(Datos!K10-Datos!U10)/Datos!U10," - ")</f>
        <v>0.5</v>
      </c>
      <c r="G10" s="349">
        <f>IF(ISNUMBER((Datos!L10-Datos!V10)/Datos!V10),(Datos!L10-Datos!V10)/Datos!V10," - ")</f>
        <v>-0.1875</v>
      </c>
      <c r="H10" s="230">
        <f>IF(ISNUMBER((Datos!M10-Datos!W10)/Datos!W10),(Datos!M10-Datos!W10)/Datos!W10," - ")</f>
        <v>0.75</v>
      </c>
      <c r="I10" s="350">
        <f>IF(ISNUMBER((Tasas!C10-Datos!BE10)/Datos!BE10),(Tasas!C10-Datos!BE10)/Datos!BE10," - ")</f>
        <v>-0.45833333333333331</v>
      </c>
      <c r="J10" s="349">
        <f>IF(ISNUMBER((Tasas!D10-Datos!BF10)/Datos!BF10),(Tasas!D10-Datos!BF10)/Datos!BF10," - ")</f>
        <v>0.16666666666666674</v>
      </c>
      <c r="K10" s="351">
        <f>IF(ISNUMBER((Tasas!E10-Datos!BG10)/Datos!BG10),(Tasas!E10-Datos!BG10)/Datos!BG10," - ")</f>
        <v>-0.33333333333333326</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0.31954887218045114</v>
      </c>
      <c r="I12" s="350">
        <f>IF(ISNUMBER((Tasas!C12-Datos!BE12)/Datos!BE12),(Tasas!C12-Datos!BE12)/Datos!BE12," - ")</f>
        <v>8.9231029818918148E-3</v>
      </c>
      <c r="J12" s="349">
        <f>IF(ISNUMBER((Tasas!D12-Datos!BF12)/Datos!BF12),(Tasas!D12-Datos!BF12)/Datos!BF12," - ")</f>
        <v>0.3332543963928975</v>
      </c>
      <c r="K12" s="351">
        <f>IF(ISNUMBER((Tasas!E12-Datos!BG12)/Datos!BG12),(Tasas!E12-Datos!BG12)/Datos!BG12," - ")</f>
        <v>6.8152005985405344E-3</v>
      </c>
      <c r="M12" t="e">
        <f>IF(Monitorios="SI",Datos!CE12,0)</f>
        <v>#REF!</v>
      </c>
      <c r="N12" t="e">
        <f>IF(Monitorios="SI",Datos!CF12,0)</f>
        <v>#REF!</v>
      </c>
      <c r="O12" t="e">
        <f>IF(Monitorios="SI",Datos!CG12,0)</f>
        <v>#REF!</v>
      </c>
      <c r="P12" t="e">
        <f>IF(Monitorios="SI",Datos!CH12,0)</f>
        <v>#REF!</v>
      </c>
      <c r="Q12">
        <f>IF(J_V="SI",0,Datos!AG12)</f>
        <v>138</v>
      </c>
      <c r="R12">
        <f>IF(J_V="SI",0,Datos!AH12)</f>
        <v>71</v>
      </c>
      <c r="S12">
        <f>IF(J_V="SI",0,Datos!AI12)</f>
        <v>76</v>
      </c>
      <c r="T12">
        <f>IF(J_V="SI",0,Datos!AJ12)</f>
        <v>133</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0.32592592592592595</v>
      </c>
      <c r="I13" s="357">
        <f>IF(ISNUMBER((Tasas!C13-Datos!BE13)/Datos!BE13),(Tasas!C13-Datos!BE13)/Datos!BE13," - ")</f>
        <v>5.5028782467589866E-3</v>
      </c>
      <c r="J13" s="355">
        <f>IF(ISNUMBER((Tasas!D13-Datos!BF13)/Datos!BF13),(Tasas!D13-Datos!BF13)/Datos!BF13," - ")</f>
        <v>0.33172505869895497</v>
      </c>
      <c r="K13" s="358">
        <f>IF(ISNUMBER((Tasas!E13-Datos!BG13)/Datos!BG13),(Tasas!E13-Datos!BG13)/Datos!BG13," - ")</f>
        <v>4.201641599588796E-3</v>
      </c>
      <c r="M13" t="e">
        <f>IF(Monitorios="SI",Datos!CE13,0)</f>
        <v>#REF!</v>
      </c>
      <c r="N13" t="e">
        <f>IF(Monitorios="SI",Datos!CF13,0)</f>
        <v>#REF!</v>
      </c>
      <c r="O13" t="e">
        <f>IF(Monitorios="SI",Datos!CG13,0)</f>
        <v>#REF!</v>
      </c>
      <c r="P13" t="e">
        <f>IF(Monitorios="SI",Datos!CH13,0)</f>
        <v>#REF!</v>
      </c>
      <c r="Q13">
        <f>IF(J_V="SI",0,Datos!AG13)</f>
        <v>138</v>
      </c>
      <c r="R13">
        <f>IF(J_V="SI",0,Datos!AH13)</f>
        <v>71</v>
      </c>
      <c r="S13">
        <f>IF(J_V="SI",0,Datos!AI13)</f>
        <v>76</v>
      </c>
      <c r="T13">
        <f>IF(J_V="SI",0,Datos!AJ13)</f>
        <v>133</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0.22095671981776766</v>
      </c>
      <c r="E16" s="348">
        <f>IF(ISNUMBER(
   IF(D_I="SI",(Datos!J16-Datos!T16)/Datos!T16,(Datos!J16+Datos!AD16-(Datos!T16+Datos!AL16))/(Datos!T16+Datos!AL16))
     ),IF(D_I="SI",(Datos!J16-Datos!T16)/Datos!T16,(Datos!J16+Datos!AD16-(Datos!T16+Datos!AL16))/(Datos!T16+Datos!AL16))," - ")</f>
        <v>0.15994436717663421</v>
      </c>
      <c r="F16" s="348">
        <f>IF(ISNUMBER(
   IF(D_I="SI",(Datos!K16-Datos!U16)/Datos!U16,(Datos!K16+Datos!AE16-(Datos!U16+Datos!AM16))/(Datos!U16+Datos!AM16))
     ),IF(D_I="SI",(Datos!K16-Datos!U16)/Datos!U16,(Datos!K16+Datos!AE16-(Datos!U16+Datos!AM16))/(Datos!U16+Datos!AM16))," - ")</f>
        <v>0.22477064220183487</v>
      </c>
      <c r="G16" s="349">
        <f>IF(ISNUMBER(
   IF(D_I="SI",(Datos!L16-Datos!V16)/Datos!V16,(Datos!L16+Datos!AF16-(Datos!V16+Datos!AN16))/(Datos!V16+Datos!AN16))
     ),IF(D_I="SI",(Datos!L16-Datos!V16)/Datos!V16,(Datos!L16+Datos!AF16-(Datos!V16+Datos!AN16))/(Datos!V16+Datos!AN16))," - ")</f>
        <v>0.176033934252386</v>
      </c>
      <c r="H16" s="230">
        <f>IF(ISNUMBER((Datos!M16-Datos!W16)/Datos!W16),(Datos!M16-Datos!W16)/Datos!W16," - ")</f>
        <v>0.19767441860465115</v>
      </c>
      <c r="I16" s="350">
        <f>IF(ISNUMBER((Tasas!C16-Datos!BE16)/Datos!BE16),(Tasas!C16-Datos!BE16)/Datos!BE16," - ")</f>
        <v>-3.9792518101048086E-2</v>
      </c>
      <c r="J16" s="349">
        <f>IF(ISNUMBER((Tasas!D16-Datos!BF16)/Datos!BF16),(Tasas!D16-Datos!BF16)/Datos!BF16," - ")</f>
        <v>-2.2123508405191103E-2</v>
      </c>
      <c r="K16" s="351">
        <f>IF(ISNUMBER((Tasas!E16-Datos!BG16)/Datos!BG16),(Tasas!E16-Datos!BG16)/Datos!BG16," - ")</f>
        <v>-2.5541804741568318E-2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0.73529411764705888</v>
      </c>
      <c r="E17" s="348">
        <f>IF(ISNUMBER(
   IF(D_I="SI",(Datos!J17-Datos!T17)/Datos!T17,(Datos!J17+Datos!AD17-(Datos!T17+Datos!AL17))/(Datos!T17+Datos!AL17))
     ),IF(D_I="SI",(Datos!J17-Datos!T17)/Datos!T17,(Datos!J17+Datos!AD17-(Datos!T17+Datos!AL17))/(Datos!T17+Datos!AL17))," - ")</f>
        <v>0.54166666666666663</v>
      </c>
      <c r="F17" s="348">
        <f>IF(ISNUMBER(
   IF(D_I="SI",(Datos!K17-Datos!U17)/Datos!U17,(Datos!K17+Datos!AE17-(Datos!U17+Datos!AM17))/(Datos!U17+Datos!AM17))
     ),IF(D_I="SI",(Datos!K17-Datos!U17)/Datos!U17,(Datos!K17+Datos!AE17-(Datos!U17+Datos!AM17))/(Datos!U17+Datos!AM17))," - ")</f>
        <v>1.1020408163265305</v>
      </c>
      <c r="G17" s="349">
        <f>IF(ISNUMBER(
   IF(D_I="SI",(Datos!L17-Datos!V17)/Datos!V17,(Datos!L17+Datos!AF17-(Datos!V17+Datos!AN17))/(Datos!V17+Datos!AN17))
     ),IF(D_I="SI",(Datos!L17-Datos!V17)/Datos!V17,(Datos!L17+Datos!AF17-(Datos!V17+Datos!AN17))/(Datos!V17+Datos!AN17))," - ")</f>
        <v>-9.0909090909090912E-2</v>
      </c>
      <c r="H17" s="230">
        <f>IF(ISNUMBER((Datos!M17-Datos!W17)/Datos!W17),(Datos!M17-Datos!W17)/Datos!W17," - ")</f>
        <v>1.1428571428571428</v>
      </c>
      <c r="I17" s="350">
        <f>IF(ISNUMBER((Tasas!C17-Datos!BE17)/Datos!BE17),(Tasas!C17-Datos!BE17)/Datos!BE17," - ")</f>
        <v>-0.56751985878199473</v>
      </c>
      <c r="J17" s="349">
        <f>IF(ISNUMBER((Tasas!D17-Datos!BF17)/Datos!BF17),(Tasas!D17-Datos!BF17)/Datos!BF17," - ")</f>
        <v>1.9417475728155331E-2</v>
      </c>
      <c r="K17" s="351">
        <f>IF(ISNUMBER((Tasas!E17-Datos!BG17)/Datos!BG17),(Tasas!E17-Datos!BG17)/Datos!BG17," - ")</f>
        <v>-0.22839213829031493</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0.24013157894736842</v>
      </c>
      <c r="E18" s="354">
        <f>IF(ISNUMBER(
   IF(D_I="SI",(Datos!J18-Datos!T18)/Datos!T18,(Datos!J18+Datos!AD18-(Datos!T18+Datos!AL18))/(Datos!T18+Datos!AL18))
     ),IF(D_I="SI",(Datos!J18-Datos!T18)/Datos!T18,(Datos!J18+Datos!AD18-(Datos!T18+Datos!AL18))/(Datos!T18+Datos!AL18))," - ")</f>
        <v>0.18383311603650587</v>
      </c>
      <c r="F18" s="354">
        <f>IF(ISNUMBER(
   IF(D_I="SI",(Datos!K18-Datos!U18)/Datos!U18,(Datos!K18+Datos!AE18-(Datos!U18+Datos!AM18))/(Datos!U18+Datos!AM18))
     ),IF(D_I="SI",(Datos!K18-Datos!U18)/Datos!U18,(Datos!K18+Datos!AE18-(Datos!U18+Datos!AM18))/(Datos!U18+Datos!AM18))," - ")</f>
        <v>0.28591749644381226</v>
      </c>
      <c r="G18" s="355">
        <f>IF(ISNUMBER(
   IF(D_I="SI",(Datos!L18-Datos!V18)/Datos!V18,(Datos!L18+Datos!AF18-(Datos!V18+Datos!AN18))/(Datos!V18+Datos!AN18))
     ),IF(D_I="SI",(Datos!L18-Datos!V18)/Datos!V18,(Datos!L18+Datos!AF18-(Datos!V18+Datos!AN18))/(Datos!V18+Datos!AN18))," - ")</f>
        <v>0.16700819672131148</v>
      </c>
      <c r="H18" s="356">
        <f>IF(ISNUMBER((Datos!M18-Datos!W18)/Datos!W18),(Datos!M18-Datos!W18)/Datos!W18," - ")</f>
        <v>0.26881720430107525</v>
      </c>
      <c r="I18" s="357">
        <f>IF(ISNUMBER((Tasas!C18-Datos!BE18)/Datos!BE18),(Tasas!C18-Datos!BE18)/Datos!BE18," - ")</f>
        <v>-9.2470395691280988E-2</v>
      </c>
      <c r="J18" s="355">
        <f>IF(ISNUMBER((Tasas!D18-Datos!BF18)/Datos!BF18),(Tasas!D18-Datos!BF18)/Datos!BF18," - ")</f>
        <v>-1.3298125416309732E-2</v>
      </c>
      <c r="K18" s="358">
        <f>IF(ISNUMBER((Tasas!E18-Datos!BG18)/Datos!BG18),(Tasas!E18-Datos!BG18)/Datos!BG18," - ")</f>
        <v>-5.5605554296436495E-2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0.26402349486049925</v>
      </c>
      <c r="E19" s="363">
        <f>IF(ISNUMBER(
   IF(J_V="SI",(Datos!J19-Datos!T19)/Datos!T19,(Datos!J19+Datos!Z19-(Datos!T19+Datos!AH19))/(Datos!T19+Datos!AH19))
     ),IF(J_V="SI",(Datos!J19-Datos!T19)/Datos!T19,(Datos!J19+Datos!Z19-(Datos!T19+Datos!AH19))/(Datos!T19+Datos!AH19))," - ")</f>
        <v>0.34772324068598465</v>
      </c>
      <c r="F19" s="363">
        <f>IF(ISNUMBER(
   IF(J_V="SI",(Datos!K19-Datos!U19)/Datos!U19,(Datos!K19+Datos!AA19-(Datos!U19+Datos!AI19))/(Datos!U19+Datos!AI19))
     ),IF(J_V="SI",(Datos!K19-Datos!U19)/Datos!U19,(Datos!K19+Datos!AA19-(Datos!U19+Datos!AI19))/(Datos!U19+Datos!AI19))," - ")</f>
        <v>0.30641958967571142</v>
      </c>
      <c r="G19" s="364">
        <f>IF(ISNUMBER(
   IF(J_V="SI",(Datos!L19-Datos!V19)/Datos!V19,(Datos!L19+Datos!AB19-(Datos!V19+Datos!AJ19))/(Datos!V19+Datos!AJ19))
     ),IF(J_V="SI",(Datos!L19-Datos!V19)/Datos!V19,(Datos!L19+Datos!AB19-(Datos!V19+Datos!AJ19))/(Datos!V19+Datos!AJ19))," - ")</f>
        <v>0.28675034867503485</v>
      </c>
      <c r="H19" s="365">
        <f>IF(ISNUMBER((Datos!M19-Datos!W19)/Datos!W19),(Datos!M19-Datos!W19)/Datos!W19," - ")</f>
        <v>0.31129476584022037</v>
      </c>
      <c r="I19" s="362">
        <f>IF(ISNUMBER((Tasas!C19-Datos!BE19)/Datos!BE19),(Tasas!C19-Datos!BE19)/Datos!BE19," - ")</f>
        <v>-1.5055837463030578E-2</v>
      </c>
      <c r="J19" s="363">
        <f>IF(ISNUMBER((Tasas!D19-Datos!BF19)/Datos!BF19),(Tasas!D19-Datos!BF19)/Datos!BF19," - ")</f>
        <v>0.23092773624688503</v>
      </c>
      <c r="K19" s="364">
        <f>IF(ISNUMBER((Tasas!E19-Datos!BG19)/Datos!BG19),(Tasas!E19-Datos!BG19)/Datos!BG19," - ")</f>
        <v>-1.1192500147124539E-2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0.41691167277205093</v>
      </c>
      <c r="E21" s="278">
        <f t="shared" si="1"/>
        <v>0.20241518372885475</v>
      </c>
      <c r="F21" s="278">
        <f t="shared" si="1"/>
        <v>0.40035763508964134</v>
      </c>
      <c r="G21" s="279">
        <f t="shared" si="1"/>
        <v>0.18371720943104988</v>
      </c>
      <c r="H21" s="285">
        <f t="shared" si="1"/>
        <v>0.36972207489329473</v>
      </c>
      <c r="I21" s="277">
        <f t="shared" si="1"/>
        <v>0.254710753478116</v>
      </c>
      <c r="J21" s="278">
        <f t="shared" si="1"/>
        <v>0.16675879449508096</v>
      </c>
      <c r="K21" s="279">
        <f t="shared" si="1"/>
        <v>0.14180423862527103</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24 sep.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GCwEge+KDpsPT/LLmeen9LwH/wVySZUgFBO7wprmneIEaoNG1fnXfjM69NzDItjui9tQS7uTLwe531k244I93g==" saltValue="XRpc54IR+oIBIl2dWUeNxg=="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Siconet</cp:lastModifiedBy>
  <cp:lastPrinted>2021-10-22T08:26:52Z</cp:lastPrinted>
  <dcterms:created xsi:type="dcterms:W3CDTF">2003-07-15T10:22:03Z</dcterms:created>
  <dcterms:modified xsi:type="dcterms:W3CDTF">2024-09-24T15:25:56Z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